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OGRAMM_Praxis\Arbeitshilfen\AH_Hübner\Dateien\2022\überarbeitet\"/>
    </mc:Choice>
  </mc:AlternateContent>
  <xr:revisionPtr revIDLastSave="0" documentId="13_ncr:1_{ECEE674C-3385-4F35-A4A2-91B8C40B7F44}" xr6:coauthVersionLast="44" xr6:coauthVersionMax="47" xr10:uidLastSave="{00000000-0000-0000-0000-000000000000}"/>
  <bookViews>
    <workbookView xWindow="-120" yWindow="-120" windowWidth="20730" windowHeight="11160" tabRatio="867" activeTab="3" xr2:uid="{7DA1697C-E14D-4841-B7D2-FE0D92CE59A3}"/>
  </bookViews>
  <sheets>
    <sheet name="Version_Hinweise" sheetId="1" r:id="rId1"/>
    <sheet name="Allgemeine_Informationen" sheetId="2" r:id="rId2"/>
    <sheet name="Inhaltsverzeichnis" sheetId="3" r:id="rId3"/>
    <sheet name="Mandantendaten" sheetId="4" r:id="rId4"/>
    <sheet name="Ford. 1" sheetId="5" r:id="rId5"/>
    <sheet name="Ford. 2" sheetId="6" r:id="rId6"/>
    <sheet name="Ford. 3" sheetId="7" r:id="rId7"/>
    <sheet name="Ford. 4" sheetId="8" r:id="rId8"/>
    <sheet name="Ford. 5" sheetId="9" r:id="rId9"/>
    <sheet name="Bank 1" sheetId="10" r:id="rId10"/>
    <sheet name="ARAP 1" sheetId="12" r:id="rId11"/>
    <sheet name="ARAP 2" sheetId="13" r:id="rId12"/>
    <sheet name="ARAP 3" sheetId="14" r:id="rId13"/>
    <sheet name="AV 1" sheetId="38" r:id="rId14"/>
    <sheet name="AV 2" sheetId="39" r:id="rId15"/>
    <sheet name="AV 3" sheetId="43" r:id="rId16"/>
    <sheet name="Rückst. 1" sheetId="16" r:id="rId17"/>
    <sheet name="Sapo" sheetId="40" r:id="rId18"/>
    <sheet name="IAB" sheetId="41" r:id="rId19"/>
    <sheet name="Rückst. 2" sheetId="17" r:id="rId20"/>
    <sheet name="Rückst. 3" sheetId="18" r:id="rId21"/>
    <sheet name="Rückst. 4" sheetId="19" r:id="rId22"/>
    <sheet name="Verb. 1" sheetId="20" r:id="rId23"/>
    <sheet name="Verb. 2" sheetId="21" r:id="rId24"/>
    <sheet name="Sonst. Verb. 1" sheetId="23" r:id="rId25"/>
    <sheet name="Sonst. Verb. 2" sheetId="24" r:id="rId26"/>
    <sheet name="Sonst. Verb. 3" sheetId="25" r:id="rId27"/>
    <sheet name="Sonst. Verb. 4" sheetId="26" r:id="rId28"/>
    <sheet name="Sonst. Verb. 5" sheetId="11" r:id="rId29"/>
    <sheet name="USt 1" sheetId="27" r:id="rId30"/>
    <sheet name="USt 2" sheetId="28" r:id="rId31"/>
    <sheet name="USt 3" sheetId="29" r:id="rId32"/>
    <sheet name="USt 4" sheetId="37" r:id="rId33"/>
    <sheet name="PRAP 1" sheetId="31" r:id="rId34"/>
    <sheet name="PRAP 2" sheetId="32" r:id="rId35"/>
    <sheet name="Lohn 1" sheetId="33" r:id="rId36"/>
    <sheet name="Lohn 2" sheetId="34" r:id="rId37"/>
    <sheet name="Verträge 1" sheetId="35" r:id="rId38"/>
    <sheet name="Kontenaufstellung" sheetId="36" r:id="rId39"/>
  </sheets>
  <externalReferences>
    <externalReference r:id="rId40"/>
  </externalReferences>
  <definedNames>
    <definedName name="_xlnm.Print_Area" localSheetId="10">'ARAP 1'!$A$1:$G$35</definedName>
    <definedName name="_xlnm.Print_Area" localSheetId="11">'ARAP 2'!$A$1:$I$36</definedName>
    <definedName name="_xlnm.Print_Area" localSheetId="13">'AV 1'!$A$1:$L$23</definedName>
    <definedName name="_xlnm.Print_Area" localSheetId="14">'AV 2'!$A$1:$Z$25</definedName>
    <definedName name="_xlnm.Print_Area" localSheetId="15">'AV 3'!$A$1:$AH$31</definedName>
    <definedName name="_xlnm.Print_Area" localSheetId="9">'Bank 1'!$A$1:$K$36</definedName>
    <definedName name="_xlnm.Print_Area" localSheetId="4">'Ford. 1'!$A$1:$J$35</definedName>
    <definedName name="_xlnm.Print_Area" localSheetId="5">'Ford. 2'!$A$1:$P$36</definedName>
    <definedName name="_xlnm.Print_Area" localSheetId="6">'Ford. 3'!$A$1:$K$36</definedName>
    <definedName name="_xlnm.Print_Area" localSheetId="7">'Ford. 4'!$A$1:$J$29</definedName>
    <definedName name="_xlnm.Print_Area" localSheetId="8">'Ford. 5'!$A$1:$I$39</definedName>
    <definedName name="_xlnm.Print_Area" localSheetId="18">IAB!$A$1:$S$52</definedName>
    <definedName name="_xlnm.Print_Area" localSheetId="38">Kontenaufstellung!$A$1:$L$30</definedName>
    <definedName name="_xlnm.Print_Area" localSheetId="35">'Lohn 1'!$A$1:$H$39</definedName>
    <definedName name="_xlnm.Print_Area" localSheetId="33">'PRAP 1'!$A$1:$H$38</definedName>
    <definedName name="_xlnm.Print_Area" localSheetId="34">'PRAP 2'!$A$1:$I$36</definedName>
    <definedName name="_xlnm.Print_Area" localSheetId="16">'Rückst. 1'!$A$1:$H$21</definedName>
    <definedName name="_xlnm.Print_Area" localSheetId="19">'Rückst. 2'!$A$1:$I$37</definedName>
    <definedName name="_xlnm.Print_Area" localSheetId="20">'Rückst. 3'!$A$1:$R$43</definedName>
    <definedName name="_xlnm.Print_Area" localSheetId="21">'Rückst. 4'!$A$1:$O$33</definedName>
    <definedName name="_xlnm.Print_Area" localSheetId="17">Sapo!$A$1:$I$9</definedName>
    <definedName name="_xlnm.Print_Area" localSheetId="24">'Sonst. Verb. 1'!$A$1:$J$36</definedName>
    <definedName name="_xlnm.Print_Area" localSheetId="25">'Sonst. Verb. 2'!$A$1:$I$36</definedName>
    <definedName name="_xlnm.Print_Area" localSheetId="26">'Sonst. Verb. 3'!$A$1:$I$36</definedName>
    <definedName name="_xlnm.Print_Area" localSheetId="27">'Sonst. Verb. 4'!$A$1:$I$36</definedName>
    <definedName name="_xlnm.Print_Area" localSheetId="28">'Sonst. Verb. 5'!$A$1:$K$36</definedName>
    <definedName name="_xlnm.Print_Area" localSheetId="29">'USt 1'!$A$1:$L$34</definedName>
    <definedName name="_xlnm.Print_Area" localSheetId="30">'USt 2'!$A$1:$H$42</definedName>
    <definedName name="_xlnm.Print_Area" localSheetId="31">'USt 3'!$A$1:$G$18</definedName>
    <definedName name="_xlnm.Print_Area" localSheetId="32">'USt 4'!$A$1:$K$32</definedName>
    <definedName name="_xlnm.Print_Area" localSheetId="22">'Verb. 1'!$A$1:$J$36</definedName>
    <definedName name="_xlnm.Print_Area" localSheetId="23">'Verb. 2'!$A$1:$P$35</definedName>
    <definedName name="_xlnm.Print_Area" localSheetId="37">'Verträge 1'!$A$1:$J$31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41" l="1"/>
  <c r="F47" i="41"/>
  <c r="F46" i="41"/>
  <c r="R16" i="41"/>
  <c r="S16" i="41" s="1"/>
  <c r="Q16" i="41"/>
  <c r="R15" i="41"/>
  <c r="S15" i="41" s="1"/>
  <c r="Q15" i="41"/>
  <c r="R14" i="41"/>
  <c r="S14" i="41" s="1"/>
  <c r="Q14" i="41"/>
  <c r="R13" i="41"/>
  <c r="S13" i="41" s="1"/>
  <c r="Q13" i="41"/>
  <c r="R20" i="41" l="1"/>
  <c r="G9" i="43"/>
  <c r="G8" i="43"/>
  <c r="G7" i="43"/>
  <c r="N5" i="19" l="1"/>
  <c r="AD21" i="43"/>
  <c r="AF21" i="43" s="1"/>
  <c r="AD22" i="43"/>
  <c r="AF22" i="43" s="1"/>
  <c r="AD23" i="43"/>
  <c r="AF23" i="43" s="1"/>
  <c r="AD24" i="43"/>
  <c r="AF24" i="43" s="1"/>
  <c r="AD25" i="43"/>
  <c r="AF25" i="43" s="1"/>
  <c r="AD26" i="43"/>
  <c r="AF26" i="43" s="1"/>
  <c r="AD27" i="43"/>
  <c r="AF27" i="43" s="1"/>
  <c r="AD28" i="43"/>
  <c r="AF28" i="43" s="1"/>
  <c r="AD29" i="43"/>
  <c r="AF29" i="43" s="1"/>
  <c r="AJ17" i="43"/>
  <c r="AK17" i="43" s="1"/>
  <c r="AJ18" i="43"/>
  <c r="AK18" i="43" s="1"/>
  <c r="AD18" i="43" s="1"/>
  <c r="AF18" i="43" s="1"/>
  <c r="AJ19" i="43"/>
  <c r="AK19" i="43" s="1"/>
  <c r="AD19" i="43" s="1"/>
  <c r="AF19" i="43" s="1"/>
  <c r="AJ20" i="43"/>
  <c r="AK20" i="43" s="1"/>
  <c r="AD20" i="43" s="1"/>
  <c r="AF20" i="43" s="1"/>
  <c r="AJ21" i="43"/>
  <c r="AK21" i="43" s="1"/>
  <c r="AJ22" i="43"/>
  <c r="AK22" i="43" s="1"/>
  <c r="AJ23" i="43"/>
  <c r="AK23" i="43" s="1"/>
  <c r="AJ24" i="43"/>
  <c r="AK24" i="43" s="1"/>
  <c r="AJ25" i="43"/>
  <c r="AK25" i="43" s="1"/>
  <c r="AJ26" i="43"/>
  <c r="AK26" i="43" s="1"/>
  <c r="AJ27" i="43"/>
  <c r="AK27" i="43" s="1"/>
  <c r="AJ28" i="43"/>
  <c r="AK28" i="43" s="1"/>
  <c r="AJ29" i="43"/>
  <c r="AK29" i="43" s="1"/>
  <c r="AJ16" i="43"/>
  <c r="AK16" i="43" s="1"/>
  <c r="V13" i="39"/>
  <c r="V14" i="39"/>
  <c r="V15" i="39"/>
  <c r="V16" i="39"/>
  <c r="V17" i="39"/>
  <c r="V18" i="39"/>
  <c r="V19" i="39"/>
  <c r="V20" i="39"/>
  <c r="V21" i="39"/>
  <c r="V22" i="39"/>
  <c r="V23" i="39"/>
  <c r="W17" i="43"/>
  <c r="W18" i="43"/>
  <c r="W19" i="43"/>
  <c r="W20" i="43"/>
  <c r="W21" i="43"/>
  <c r="W22" i="43"/>
  <c r="W23" i="43"/>
  <c r="W24" i="43"/>
  <c r="W25" i="43"/>
  <c r="W26" i="43"/>
  <c r="W27" i="43"/>
  <c r="W28" i="43"/>
  <c r="W29" i="43"/>
  <c r="W16" i="43"/>
  <c r="G11" i="43"/>
  <c r="Q29" i="43"/>
  <c r="F29" i="43"/>
  <c r="Q28" i="43"/>
  <c r="F28" i="43"/>
  <c r="Q27" i="43"/>
  <c r="F27" i="43"/>
  <c r="Q26" i="43"/>
  <c r="F26" i="43"/>
  <c r="Q25" i="43"/>
  <c r="F25" i="43"/>
  <c r="Q24" i="43"/>
  <c r="F24" i="43"/>
  <c r="Q23" i="43"/>
  <c r="F23" i="43"/>
  <c r="Q22" i="43"/>
  <c r="F22" i="43"/>
  <c r="Q21" i="43"/>
  <c r="F21" i="43"/>
  <c r="F20" i="43"/>
  <c r="F19" i="43"/>
  <c r="AE31" i="43"/>
  <c r="F18" i="43"/>
  <c r="F17" i="43"/>
  <c r="F16" i="43"/>
  <c r="S5" i="43"/>
  <c r="AF15" i="43" s="1"/>
  <c r="G5" i="43"/>
  <c r="F13" i="39"/>
  <c r="F14" i="39"/>
  <c r="F15" i="39"/>
  <c r="F16" i="39"/>
  <c r="F17" i="39"/>
  <c r="F18" i="39"/>
  <c r="F19" i="39"/>
  <c r="F20" i="39"/>
  <c r="F21" i="39"/>
  <c r="F22" i="39"/>
  <c r="F23" i="39"/>
  <c r="Q13" i="39"/>
  <c r="Q14" i="39"/>
  <c r="Q15" i="39"/>
  <c r="Q16" i="39"/>
  <c r="Q17" i="39"/>
  <c r="Q18" i="39"/>
  <c r="Q19" i="39"/>
  <c r="Q20" i="39"/>
  <c r="Q21" i="39"/>
  <c r="Q22" i="39"/>
  <c r="Q23" i="39"/>
  <c r="G5" i="39"/>
  <c r="R44" i="41"/>
  <c r="S44" i="41" s="1"/>
  <c r="R43" i="41"/>
  <c r="S43" i="41" s="1"/>
  <c r="R42" i="41"/>
  <c r="S42" i="41" s="1"/>
  <c r="R41" i="41"/>
  <c r="S41" i="41" s="1"/>
  <c r="R37" i="41"/>
  <c r="S37" i="41" s="1"/>
  <c r="Q37" i="41"/>
  <c r="R36" i="41"/>
  <c r="S36" i="41" s="1"/>
  <c r="Q36" i="41"/>
  <c r="R35" i="41"/>
  <c r="S35" i="41" s="1"/>
  <c r="Q35" i="41"/>
  <c r="R34" i="41"/>
  <c r="S34" i="41" s="1"/>
  <c r="Q34" i="41"/>
  <c r="R30" i="41"/>
  <c r="S30" i="41" s="1"/>
  <c r="Q30" i="41"/>
  <c r="R29" i="41"/>
  <c r="S29" i="41" s="1"/>
  <c r="Q29" i="41"/>
  <c r="R28" i="41"/>
  <c r="S28" i="41" s="1"/>
  <c r="Q28" i="41"/>
  <c r="R27" i="41"/>
  <c r="S27" i="41" s="1"/>
  <c r="Q27" i="41"/>
  <c r="R21" i="41"/>
  <c r="S21" i="41" s="1"/>
  <c r="R22" i="41"/>
  <c r="S22" i="41" s="1"/>
  <c r="R23" i="41"/>
  <c r="S23" i="41" s="1"/>
  <c r="S20" i="41"/>
  <c r="C9" i="41"/>
  <c r="Q21" i="41"/>
  <c r="Q22" i="41"/>
  <c r="Q23" i="41"/>
  <c r="Q20" i="41"/>
  <c r="S9" i="41"/>
  <c r="I5" i="40"/>
  <c r="I19" i="40" s="1"/>
  <c r="D5" i="40"/>
  <c r="F11" i="39"/>
  <c r="F12" i="39"/>
  <c r="F10" i="39"/>
  <c r="W12" i="39"/>
  <c r="Y5" i="39"/>
  <c r="P8" i="39" s="1"/>
  <c r="J8" i="39" s="1"/>
  <c r="L8" i="39" s="1"/>
  <c r="I10" i="38"/>
  <c r="J10" i="38" s="1"/>
  <c r="I11" i="38"/>
  <c r="J11" i="38" s="1"/>
  <c r="I12" i="38"/>
  <c r="J12" i="38" s="1"/>
  <c r="I13" i="38"/>
  <c r="J13" i="38" s="1"/>
  <c r="I14" i="38"/>
  <c r="J14" i="38" s="1"/>
  <c r="I15" i="38"/>
  <c r="J15" i="38" s="1"/>
  <c r="I16" i="38"/>
  <c r="J16" i="38" s="1"/>
  <c r="I17" i="38"/>
  <c r="J17" i="38" s="1"/>
  <c r="I18" i="38"/>
  <c r="J18" i="38" s="1"/>
  <c r="I19" i="38"/>
  <c r="J19" i="38" s="1"/>
  <c r="I20" i="38"/>
  <c r="J20" i="38" s="1"/>
  <c r="I21" i="38"/>
  <c r="J21" i="38" s="1"/>
  <c r="I9" i="38"/>
  <c r="J9" i="38" s="1"/>
  <c r="G11" i="38"/>
  <c r="H11" i="38" s="1"/>
  <c r="G12" i="38"/>
  <c r="H12" i="38" s="1"/>
  <c r="G13" i="38"/>
  <c r="H13" i="38" s="1"/>
  <c r="G14" i="38"/>
  <c r="H14" i="38" s="1"/>
  <c r="G15" i="38"/>
  <c r="H15" i="38" s="1"/>
  <c r="G16" i="38"/>
  <c r="H16" i="38" s="1"/>
  <c r="G17" i="38"/>
  <c r="H17" i="38" s="1"/>
  <c r="G18" i="38"/>
  <c r="H18" i="38" s="1"/>
  <c r="G19" i="38"/>
  <c r="H19" i="38" s="1"/>
  <c r="G20" i="38"/>
  <c r="H20" i="38" s="1"/>
  <c r="G21" i="38"/>
  <c r="H21" i="38" s="1"/>
  <c r="G9" i="38"/>
  <c r="H9" i="38" s="1"/>
  <c r="G10" i="38"/>
  <c r="H10" i="38" s="1"/>
  <c r="K5" i="38"/>
  <c r="F7" i="38" s="1"/>
  <c r="C5" i="38"/>
  <c r="K34" i="21"/>
  <c r="J34" i="21"/>
  <c r="M34" i="21" s="1"/>
  <c r="K33" i="21"/>
  <c r="J33" i="21"/>
  <c r="M33" i="21" s="1"/>
  <c r="K32" i="21"/>
  <c r="J32" i="21"/>
  <c r="M32" i="21" s="1"/>
  <c r="K31" i="21"/>
  <c r="J31" i="21"/>
  <c r="M31" i="21" s="1"/>
  <c r="K30" i="21"/>
  <c r="J30" i="21"/>
  <c r="M30" i="21" s="1"/>
  <c r="K29" i="21"/>
  <c r="J29" i="21"/>
  <c r="M29" i="21" s="1"/>
  <c r="K28" i="21"/>
  <c r="J28" i="21"/>
  <c r="M28" i="21" s="1"/>
  <c r="K27" i="21"/>
  <c r="J27" i="21"/>
  <c r="M27" i="21" s="1"/>
  <c r="K26" i="21"/>
  <c r="J26" i="21"/>
  <c r="M26" i="21" s="1"/>
  <c r="K25" i="21"/>
  <c r="J25" i="21"/>
  <c r="M25" i="21" s="1"/>
  <c r="K24" i="21"/>
  <c r="J24" i="21"/>
  <c r="M24" i="21" s="1"/>
  <c r="K23" i="21"/>
  <c r="J23" i="21"/>
  <c r="M23" i="21" s="1"/>
  <c r="K22" i="21"/>
  <c r="J22" i="21"/>
  <c r="M22" i="21" s="1"/>
  <c r="K21" i="21"/>
  <c r="J21" i="21"/>
  <c r="M21" i="21" s="1"/>
  <c r="K20" i="21"/>
  <c r="J20" i="21"/>
  <c r="M20" i="21" s="1"/>
  <c r="K19" i="21"/>
  <c r="J19" i="21"/>
  <c r="M19" i="21" s="1"/>
  <c r="K18" i="21"/>
  <c r="J18" i="21"/>
  <c r="M18" i="21" s="1"/>
  <c r="K17" i="21"/>
  <c r="J17" i="21"/>
  <c r="M17" i="21" s="1"/>
  <c r="K16" i="21"/>
  <c r="J16" i="21"/>
  <c r="M16" i="21" s="1"/>
  <c r="K15" i="21"/>
  <c r="J15" i="21"/>
  <c r="M15" i="21" s="1"/>
  <c r="K14" i="21"/>
  <c r="J14" i="21"/>
  <c r="M14" i="21" s="1"/>
  <c r="K13" i="21"/>
  <c r="J13" i="21"/>
  <c r="M13" i="21" s="1"/>
  <c r="K12" i="21"/>
  <c r="J12" i="21"/>
  <c r="M12" i="21" s="1"/>
  <c r="K11" i="21"/>
  <c r="J11" i="21"/>
  <c r="M11" i="21" s="1"/>
  <c r="K10" i="21"/>
  <c r="J10" i="21"/>
  <c r="M10" i="21" s="1"/>
  <c r="K9" i="21"/>
  <c r="J9" i="21"/>
  <c r="M9" i="21" s="1"/>
  <c r="J49" i="41" l="1"/>
  <c r="C12" i="41"/>
  <c r="H12" i="41"/>
  <c r="R12" i="41"/>
  <c r="J12" i="41"/>
  <c r="E10" i="40"/>
  <c r="C11" i="40" s="1"/>
  <c r="E16" i="40"/>
  <c r="C17" i="40" s="1"/>
  <c r="M9" i="19"/>
  <c r="L9" i="19"/>
  <c r="O20" i="21"/>
  <c r="O21" i="21"/>
  <c r="O22" i="21"/>
  <c r="O24" i="21"/>
  <c r="O28" i="21"/>
  <c r="O29" i="21"/>
  <c r="O30" i="21"/>
  <c r="J8" i="38"/>
  <c r="I13" i="40"/>
  <c r="F51" i="41"/>
  <c r="F52" i="41" s="1"/>
  <c r="L9" i="21"/>
  <c r="L14" i="21"/>
  <c r="L19" i="21"/>
  <c r="L23" i="21"/>
  <c r="L26" i="21"/>
  <c r="L27" i="21"/>
  <c r="L34" i="21"/>
  <c r="K23" i="39"/>
  <c r="K19" i="39"/>
  <c r="K15" i="39"/>
  <c r="K11" i="39"/>
  <c r="V12" i="39"/>
  <c r="K21" i="39"/>
  <c r="K17" i="39"/>
  <c r="K13" i="39"/>
  <c r="K17" i="38"/>
  <c r="K15" i="38"/>
  <c r="K21" i="38"/>
  <c r="K11" i="38"/>
  <c r="O9" i="21"/>
  <c r="O10" i="21"/>
  <c r="O13" i="21"/>
  <c r="L15" i="21"/>
  <c r="O16" i="21"/>
  <c r="O17" i="21"/>
  <c r="O18" i="21"/>
  <c r="L25" i="21"/>
  <c r="O26" i="21"/>
  <c r="L31" i="21"/>
  <c r="O32" i="21"/>
  <c r="O33" i="21"/>
  <c r="K16" i="38"/>
  <c r="K10" i="38"/>
  <c r="I10" i="40"/>
  <c r="E13" i="40"/>
  <c r="C14" i="40" s="1"/>
  <c r="F14" i="40" s="1"/>
  <c r="H14" i="40" s="1"/>
  <c r="I14" i="40" s="1"/>
  <c r="I16" i="40"/>
  <c r="N8" i="39"/>
  <c r="K22" i="39"/>
  <c r="K20" i="39"/>
  <c r="K18" i="39"/>
  <c r="K16" i="39"/>
  <c r="K14" i="39"/>
  <c r="K12" i="39"/>
  <c r="O12" i="21"/>
  <c r="L29" i="21"/>
  <c r="L11" i="21"/>
  <c r="O25" i="21"/>
  <c r="L13" i="21"/>
  <c r="L30" i="21"/>
  <c r="O34" i="21"/>
  <c r="L17" i="21"/>
  <c r="L18" i="21"/>
  <c r="L22" i="21"/>
  <c r="L10" i="21"/>
  <c r="O14" i="21"/>
  <c r="L21" i="21"/>
  <c r="N14" i="43"/>
  <c r="P14" i="43"/>
  <c r="U14" i="43"/>
  <c r="S15" i="43"/>
  <c r="U8" i="39"/>
  <c r="K14" i="38"/>
  <c r="K12" i="38"/>
  <c r="H23" i="38"/>
  <c r="K20" i="38"/>
  <c r="K19" i="38"/>
  <c r="K13" i="38"/>
  <c r="J23" i="38"/>
  <c r="K9" i="38"/>
  <c r="K23" i="38" s="1"/>
  <c r="K18" i="38"/>
  <c r="I23" i="38"/>
  <c r="G23" i="38"/>
  <c r="R40" i="41"/>
  <c r="J26" i="41"/>
  <c r="H33" i="41"/>
  <c r="J33" i="41"/>
  <c r="R26" i="41"/>
  <c r="R33" i="41"/>
  <c r="C33" i="41"/>
  <c r="S33" i="41" s="1"/>
  <c r="C40" i="41"/>
  <c r="S40" i="41" s="1"/>
  <c r="H26" i="41"/>
  <c r="C26" i="41"/>
  <c r="S26" i="41" s="1"/>
  <c r="J19" i="41"/>
  <c r="R19" i="41"/>
  <c r="H19" i="41"/>
  <c r="C19" i="41"/>
  <c r="S19" i="41" s="1"/>
  <c r="F17" i="40"/>
  <c r="H17" i="40" s="1"/>
  <c r="I17" i="40" s="1"/>
  <c r="G16" i="40"/>
  <c r="F11" i="40"/>
  <c r="H11" i="40" s="1"/>
  <c r="I11" i="40" s="1"/>
  <c r="G10" i="40"/>
  <c r="E7" i="40"/>
  <c r="C20" i="40" s="1"/>
  <c r="I7" i="40"/>
  <c r="X9" i="39"/>
  <c r="W25" i="39"/>
  <c r="S9" i="39"/>
  <c r="H8" i="38"/>
  <c r="D7" i="38"/>
  <c r="O19" i="21"/>
  <c r="O23" i="21"/>
  <c r="O27" i="21"/>
  <c r="O31" i="21"/>
  <c r="O11" i="21"/>
  <c r="L12" i="21"/>
  <c r="L16" i="21"/>
  <c r="L20" i="21"/>
  <c r="L24" i="21"/>
  <c r="L28" i="21"/>
  <c r="L32" i="21"/>
  <c r="O15" i="21"/>
  <c r="J36" i="21"/>
  <c r="L33" i="21"/>
  <c r="N10" i="21"/>
  <c r="N12" i="21"/>
  <c r="N14" i="21"/>
  <c r="N16" i="21"/>
  <c r="N18" i="21"/>
  <c r="N20" i="21"/>
  <c r="N22" i="21"/>
  <c r="N24" i="21"/>
  <c r="N26" i="21"/>
  <c r="N28" i="21"/>
  <c r="N30" i="21"/>
  <c r="N32" i="21"/>
  <c r="N34" i="21"/>
  <c r="K36" i="21"/>
  <c r="M36" i="21"/>
  <c r="N9" i="21"/>
  <c r="N11" i="21"/>
  <c r="N13" i="21"/>
  <c r="N15" i="21"/>
  <c r="N17" i="21"/>
  <c r="N19" i="21"/>
  <c r="N21" i="21"/>
  <c r="N23" i="21"/>
  <c r="N25" i="21"/>
  <c r="N27" i="21"/>
  <c r="N29" i="21"/>
  <c r="N31" i="21"/>
  <c r="N33" i="21"/>
  <c r="F12" i="41" l="1"/>
  <c r="S12" i="41"/>
  <c r="O12" i="41"/>
  <c r="G13" i="40"/>
  <c r="E19" i="40"/>
  <c r="F20" i="40" s="1"/>
  <c r="H20" i="40" s="1"/>
  <c r="I20" i="40" s="1"/>
  <c r="L36" i="21"/>
  <c r="O36" i="21"/>
  <c r="Q20" i="43"/>
  <c r="Q19" i="43"/>
  <c r="R26" i="43"/>
  <c r="S26" i="43" s="1"/>
  <c r="R22" i="43"/>
  <c r="S22" i="43" s="1"/>
  <c r="R21" i="43"/>
  <c r="S21" i="43" s="1"/>
  <c r="R18" i="43"/>
  <c r="R29" i="43"/>
  <c r="S29" i="43" s="1"/>
  <c r="R25" i="43"/>
  <c r="S25" i="43" s="1"/>
  <c r="R27" i="43"/>
  <c r="S27" i="43" s="1"/>
  <c r="R23" i="43"/>
  <c r="S23" i="43" s="1"/>
  <c r="R19" i="43"/>
  <c r="R28" i="43"/>
  <c r="S28" i="43" s="1"/>
  <c r="R24" i="43"/>
  <c r="S24" i="43" s="1"/>
  <c r="R20" i="43"/>
  <c r="J14" i="43"/>
  <c r="R17" i="43"/>
  <c r="R13" i="39"/>
  <c r="S13" i="39" s="1"/>
  <c r="R14" i="39"/>
  <c r="R15" i="39"/>
  <c r="S15" i="39" s="1"/>
  <c r="R16" i="39"/>
  <c r="S16" i="39" s="1"/>
  <c r="R17" i="39"/>
  <c r="R18" i="39"/>
  <c r="S18" i="39" s="1"/>
  <c r="R19" i="39"/>
  <c r="S19" i="39" s="1"/>
  <c r="R20" i="39"/>
  <c r="S20" i="39" s="1"/>
  <c r="R21" i="39"/>
  <c r="S21" i="39" s="1"/>
  <c r="R23" i="39"/>
  <c r="S23" i="39" s="1"/>
  <c r="R22" i="39"/>
  <c r="S22" i="39" s="1"/>
  <c r="R11" i="39"/>
  <c r="R12" i="39"/>
  <c r="S14" i="39"/>
  <c r="X15" i="39"/>
  <c r="X16" i="39"/>
  <c r="S17" i="39"/>
  <c r="X21" i="39"/>
  <c r="X18" i="39"/>
  <c r="X20" i="39"/>
  <c r="X17" i="39"/>
  <c r="X23" i="39"/>
  <c r="X14" i="39"/>
  <c r="X22" i="39"/>
  <c r="X19" i="39"/>
  <c r="X13" i="39"/>
  <c r="Q12" i="39"/>
  <c r="X12" i="39"/>
  <c r="F40" i="41"/>
  <c r="F33" i="41"/>
  <c r="O33" i="41"/>
  <c r="F26" i="41"/>
  <c r="O26" i="41"/>
  <c r="O19" i="41"/>
  <c r="C8" i="40"/>
  <c r="F8" i="40" s="1"/>
  <c r="H8" i="40" s="1"/>
  <c r="I8" i="40" s="1"/>
  <c r="G7" i="40"/>
  <c r="G19" i="40" s="1"/>
  <c r="N36" i="21"/>
  <c r="O14" i="41" l="1"/>
  <c r="O13" i="41"/>
  <c r="O16" i="41"/>
  <c r="O15" i="41"/>
  <c r="S12" i="39"/>
  <c r="S19" i="43"/>
  <c r="S20" i="43"/>
  <c r="AG20" i="43" s="1"/>
  <c r="AG25" i="43"/>
  <c r="AG26" i="43"/>
  <c r="AG29" i="43"/>
  <c r="AG22" i="43"/>
  <c r="AG24" i="43"/>
  <c r="AG28" i="43"/>
  <c r="AG19" i="43"/>
  <c r="AG21" i="43"/>
  <c r="AG23" i="43"/>
  <c r="K29" i="43"/>
  <c r="K25" i="43"/>
  <c r="K21" i="43"/>
  <c r="I29" i="43"/>
  <c r="I25" i="43"/>
  <c r="I21" i="43"/>
  <c r="K17" i="43"/>
  <c r="I17" i="43"/>
  <c r="AD17" i="43" s="1"/>
  <c r="AF17" i="43" s="1"/>
  <c r="K16" i="43"/>
  <c r="K26" i="43"/>
  <c r="K22" i="43"/>
  <c r="I16" i="43"/>
  <c r="AD16" i="43" s="1"/>
  <c r="AF16" i="43" s="1"/>
  <c r="I26" i="43"/>
  <c r="I22" i="43"/>
  <c r="K18" i="43"/>
  <c r="I18" i="43"/>
  <c r="Q18" i="43" s="1"/>
  <c r="S18" i="43" s="1"/>
  <c r="AG18" i="43" s="1"/>
  <c r="I24" i="43"/>
  <c r="K27" i="43"/>
  <c r="K23" i="43"/>
  <c r="K19" i="43"/>
  <c r="L14" i="43"/>
  <c r="I20" i="43"/>
  <c r="I27" i="43"/>
  <c r="I23" i="43"/>
  <c r="I19" i="43"/>
  <c r="I28" i="43"/>
  <c r="K28" i="43"/>
  <c r="K24" i="43"/>
  <c r="K20" i="43"/>
  <c r="AG27" i="43"/>
  <c r="I19" i="39"/>
  <c r="I17" i="39"/>
  <c r="I20" i="39"/>
  <c r="I21" i="39"/>
  <c r="I22" i="39"/>
  <c r="I11" i="39"/>
  <c r="V11" i="39" s="1"/>
  <c r="I23" i="39"/>
  <c r="I12" i="39"/>
  <c r="I10" i="39"/>
  <c r="V10" i="39" s="1"/>
  <c r="I13" i="39"/>
  <c r="I14" i="39"/>
  <c r="I15" i="39"/>
  <c r="I16" i="39"/>
  <c r="I18" i="39"/>
  <c r="K10" i="39"/>
  <c r="O35" i="41"/>
  <c r="O28" i="41"/>
  <c r="O30" i="41"/>
  <c r="O37" i="41"/>
  <c r="O34" i="41"/>
  <c r="O27" i="41"/>
  <c r="O29" i="41"/>
  <c r="O36" i="41"/>
  <c r="O21" i="41"/>
  <c r="O22" i="41"/>
  <c r="O20" i="41"/>
  <c r="O23" i="41"/>
  <c r="Q16" i="43" l="1"/>
  <c r="Q17" i="43"/>
  <c r="S17" i="43" s="1"/>
  <c r="X11" i="39"/>
  <c r="Q11" i="39"/>
  <c r="S11" i="39" s="1"/>
  <c r="X10" i="39"/>
  <c r="Q10" i="39"/>
  <c r="Y17" i="39"/>
  <c r="Y20" i="39"/>
  <c r="Y19" i="39"/>
  <c r="Y16" i="39"/>
  <c r="Y23" i="39"/>
  <c r="Y14" i="39"/>
  <c r="Y13" i="39"/>
  <c r="Y12" i="39"/>
  <c r="AG17" i="43" l="1"/>
  <c r="Q31" i="43"/>
  <c r="R16" i="43"/>
  <c r="R31" i="43" s="1"/>
  <c r="AF31" i="43"/>
  <c r="X25" i="39"/>
  <c r="Y11" i="39"/>
  <c r="R10" i="39"/>
  <c r="R25" i="39" s="1"/>
  <c r="Q25" i="39"/>
  <c r="Y21" i="39"/>
  <c r="Y15" i="39"/>
  <c r="Y22" i="39"/>
  <c r="Y18" i="39"/>
  <c r="S16" i="43" l="1"/>
  <c r="S10" i="39"/>
  <c r="S25" i="39" s="1"/>
  <c r="S31" i="43" l="1"/>
  <c r="AG16" i="43"/>
  <c r="AG31" i="43" s="1"/>
  <c r="Y10" i="39"/>
  <c r="Y25" i="39" s="1"/>
  <c r="M27" i="19"/>
  <c r="H11" i="19"/>
  <c r="M11" i="19" s="1"/>
  <c r="H12" i="19"/>
  <c r="M12" i="19" s="1"/>
  <c r="H13" i="19"/>
  <c r="M13" i="19" s="1"/>
  <c r="H14" i="19"/>
  <c r="M14" i="19" s="1"/>
  <c r="H15" i="19"/>
  <c r="M15" i="19" s="1"/>
  <c r="H16" i="19"/>
  <c r="M16" i="19" s="1"/>
  <c r="H17" i="19"/>
  <c r="M17" i="19" s="1"/>
  <c r="H18" i="19"/>
  <c r="M18" i="19" s="1"/>
  <c r="H19" i="19"/>
  <c r="M19" i="19" s="1"/>
  <c r="H20" i="19"/>
  <c r="M20" i="19" s="1"/>
  <c r="H21" i="19"/>
  <c r="M21" i="19" s="1"/>
  <c r="H22" i="19"/>
  <c r="M22" i="19" s="1"/>
  <c r="H23" i="19"/>
  <c r="M23" i="19" s="1"/>
  <c r="H24" i="19"/>
  <c r="M24" i="19" s="1"/>
  <c r="H25" i="19"/>
  <c r="M25" i="19" s="1"/>
  <c r="H26" i="19"/>
  <c r="M26" i="19" s="1"/>
  <c r="H27" i="19"/>
  <c r="H28" i="19"/>
  <c r="M28" i="19" s="1"/>
  <c r="H29" i="19"/>
  <c r="M29" i="19" s="1"/>
  <c r="H30" i="19"/>
  <c r="M30" i="19" s="1"/>
  <c r="H31" i="19"/>
  <c r="M31" i="19" s="1"/>
  <c r="H10" i="19"/>
  <c r="P24" i="18"/>
  <c r="Q24" i="18" s="1"/>
  <c r="M41" i="18"/>
  <c r="L41" i="18"/>
  <c r="K41" i="18"/>
  <c r="I41" i="18"/>
  <c r="N39" i="18"/>
  <c r="N38" i="18"/>
  <c r="N37" i="18"/>
  <c r="N36" i="18"/>
  <c r="M33" i="18"/>
  <c r="L33" i="18"/>
  <c r="K33" i="18"/>
  <c r="I33" i="18"/>
  <c r="N31" i="18"/>
  <c r="N30" i="18"/>
  <c r="N29" i="18"/>
  <c r="N28" i="18"/>
  <c r="M25" i="18"/>
  <c r="L25" i="18"/>
  <c r="K25" i="18"/>
  <c r="I25" i="18"/>
  <c r="N23" i="18"/>
  <c r="N22" i="18"/>
  <c r="N21" i="18"/>
  <c r="N20" i="18"/>
  <c r="N19" i="18"/>
  <c r="N18" i="18"/>
  <c r="M15" i="18"/>
  <c r="L15" i="18"/>
  <c r="K15" i="18"/>
  <c r="I15" i="18"/>
  <c r="N13" i="18"/>
  <c r="N12" i="18"/>
  <c r="N11" i="18"/>
  <c r="N10" i="18"/>
  <c r="M21" i="16"/>
  <c r="L21" i="16"/>
  <c r="K21" i="16"/>
  <c r="I21" i="16"/>
  <c r="F44" i="14"/>
  <c r="D17" i="14"/>
  <c r="J10" i="19" l="1"/>
  <c r="L10" i="19" s="1"/>
  <c r="M10" i="19"/>
  <c r="H33" i="19"/>
  <c r="N41" i="18"/>
  <c r="N33" i="18"/>
  <c r="L43" i="18"/>
  <c r="N15" i="18"/>
  <c r="N25" i="18"/>
  <c r="I43" i="18"/>
  <c r="K43" i="18"/>
  <c r="M43" i="18"/>
  <c r="J28" i="8"/>
  <c r="G27" i="8"/>
  <c r="J35" i="7"/>
  <c r="I11" i="7"/>
  <c r="G41" i="7" s="1"/>
  <c r="I12" i="7"/>
  <c r="G42" i="7" s="1"/>
  <c r="I13" i="7"/>
  <c r="G43" i="7" s="1"/>
  <c r="I14" i="7"/>
  <c r="G44" i="7" s="1"/>
  <c r="I15" i="7"/>
  <c r="G45" i="7" s="1"/>
  <c r="I16" i="7"/>
  <c r="G46" i="7" s="1"/>
  <c r="I17" i="7"/>
  <c r="G47" i="7" s="1"/>
  <c r="I18" i="7"/>
  <c r="G48" i="7" s="1"/>
  <c r="I19" i="7"/>
  <c r="G49" i="7" s="1"/>
  <c r="I20" i="7"/>
  <c r="G50" i="7" s="1"/>
  <c r="I21" i="7"/>
  <c r="G51" i="7" s="1"/>
  <c r="I22" i="7"/>
  <c r="G52" i="7" s="1"/>
  <c r="I23" i="7"/>
  <c r="G53" i="7" s="1"/>
  <c r="I24" i="7"/>
  <c r="G54" i="7" s="1"/>
  <c r="I25" i="7"/>
  <c r="G55" i="7" s="1"/>
  <c r="I26" i="7"/>
  <c r="G56" i="7" s="1"/>
  <c r="I27" i="7"/>
  <c r="G57" i="7" s="1"/>
  <c r="I28" i="7"/>
  <c r="G58" i="7" s="1"/>
  <c r="I29" i="7"/>
  <c r="G59" i="7" s="1"/>
  <c r="I30" i="7"/>
  <c r="G60" i="7" s="1"/>
  <c r="I31" i="7"/>
  <c r="G61" i="7" s="1"/>
  <c r="I32" i="7"/>
  <c r="G62" i="7" s="1"/>
  <c r="M9" i="6"/>
  <c r="H10" i="7"/>
  <c r="I10" i="7" s="1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9" i="6"/>
  <c r="N10" i="19" l="1"/>
  <c r="O9" i="6"/>
  <c r="N43" i="18"/>
  <c r="M33" i="19"/>
  <c r="J10" i="7"/>
  <c r="K36" i="6"/>
  <c r="G40" i="7"/>
  <c r="G63" i="7" s="1"/>
  <c r="I34" i="7"/>
  <c r="I36" i="7" s="1"/>
  <c r="G9" i="35"/>
  <c r="G15" i="8" l="1"/>
  <c r="G16" i="8" s="1"/>
  <c r="I16" i="8" s="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9" i="11"/>
  <c r="J11" i="19"/>
  <c r="L11" i="19" s="1"/>
  <c r="N11" i="19" s="1"/>
  <c r="J13" i="19"/>
  <c r="L13" i="19" s="1"/>
  <c r="N13" i="19" s="1"/>
  <c r="J14" i="19"/>
  <c r="L14" i="19" s="1"/>
  <c r="N14" i="19" s="1"/>
  <c r="J15" i="19"/>
  <c r="L15" i="19" s="1"/>
  <c r="N15" i="19" s="1"/>
  <c r="J16" i="19"/>
  <c r="L16" i="19" s="1"/>
  <c r="N16" i="19" s="1"/>
  <c r="J17" i="19"/>
  <c r="L17" i="19" s="1"/>
  <c r="N17" i="19" s="1"/>
  <c r="J18" i="19"/>
  <c r="L18" i="19" s="1"/>
  <c r="N18" i="19" s="1"/>
  <c r="J19" i="19"/>
  <c r="L19" i="19" s="1"/>
  <c r="N19" i="19" s="1"/>
  <c r="J20" i="19"/>
  <c r="L20" i="19" s="1"/>
  <c r="N20" i="19" s="1"/>
  <c r="J21" i="19"/>
  <c r="L21" i="19" s="1"/>
  <c r="N21" i="19" s="1"/>
  <c r="J22" i="19"/>
  <c r="L22" i="19" s="1"/>
  <c r="N22" i="19" s="1"/>
  <c r="J23" i="19"/>
  <c r="L23" i="19" s="1"/>
  <c r="N23" i="19" s="1"/>
  <c r="J24" i="19"/>
  <c r="L24" i="19" s="1"/>
  <c r="N24" i="19" s="1"/>
  <c r="J25" i="19"/>
  <c r="L25" i="19" s="1"/>
  <c r="N25" i="19" s="1"/>
  <c r="J26" i="19"/>
  <c r="L26" i="19" s="1"/>
  <c r="N26" i="19" s="1"/>
  <c r="J27" i="19"/>
  <c r="L27" i="19" s="1"/>
  <c r="N27" i="19" s="1"/>
  <c r="J28" i="19"/>
  <c r="L28" i="19" s="1"/>
  <c r="N28" i="19" s="1"/>
  <c r="J29" i="19"/>
  <c r="L29" i="19" s="1"/>
  <c r="N29" i="19" s="1"/>
  <c r="J30" i="19"/>
  <c r="L30" i="19" s="1"/>
  <c r="N30" i="19" s="1"/>
  <c r="J31" i="19"/>
  <c r="L31" i="19" s="1"/>
  <c r="N31" i="19" s="1"/>
  <c r="J12" i="19"/>
  <c r="L12" i="19" s="1"/>
  <c r="L33" i="19" l="1"/>
  <c r="N12" i="19"/>
  <c r="N33" i="19" s="1"/>
  <c r="J3" i="37"/>
  <c r="J9" i="10" l="1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G10" i="11" l="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8" i="34" l="1"/>
  <c r="F8" i="34"/>
  <c r="E8" i="34"/>
  <c r="D8" i="34"/>
  <c r="C8" i="34"/>
  <c r="G11" i="34"/>
  <c r="F11" i="34"/>
  <c r="E11" i="34"/>
  <c r="D11" i="34"/>
  <c r="C11" i="34"/>
  <c r="G10" i="34"/>
  <c r="F10" i="34"/>
  <c r="E10" i="34"/>
  <c r="D10" i="34"/>
  <c r="C10" i="34"/>
  <c r="G9" i="34"/>
  <c r="F9" i="34"/>
  <c r="E9" i="34"/>
  <c r="D9" i="34"/>
  <c r="C9" i="34"/>
  <c r="D28" i="37"/>
  <c r="E28" i="37"/>
  <c r="F28" i="37"/>
  <c r="G28" i="37"/>
  <c r="H28" i="37"/>
  <c r="I28" i="37"/>
  <c r="I29" i="37" s="1"/>
  <c r="I32" i="37" s="1"/>
  <c r="C28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H6" i="37"/>
  <c r="G6" i="37"/>
  <c r="F6" i="37"/>
  <c r="E6" i="37"/>
  <c r="D6" i="37"/>
  <c r="C6" i="37"/>
  <c r="C3" i="37"/>
  <c r="H5" i="26"/>
  <c r="I5" i="23"/>
  <c r="O5" i="21"/>
  <c r="C5" i="21"/>
  <c r="I5" i="20"/>
  <c r="C5" i="20"/>
  <c r="E5" i="19"/>
  <c r="Q5" i="18"/>
  <c r="C5" i="18"/>
  <c r="H5" i="17"/>
  <c r="C5" i="17"/>
  <c r="O5" i="16"/>
  <c r="C5" i="16"/>
  <c r="F22" i="26" l="1"/>
  <c r="F24" i="26"/>
  <c r="F14" i="26"/>
  <c r="F25" i="26"/>
  <c r="F15" i="26"/>
  <c r="F26" i="26"/>
  <c r="F9" i="26"/>
  <c r="F27" i="26"/>
  <c r="F28" i="26"/>
  <c r="F29" i="26"/>
  <c r="F10" i="26"/>
  <c r="F12" i="26"/>
  <c r="F23" i="26"/>
  <c r="F13" i="26"/>
  <c r="F30" i="26"/>
  <c r="F21" i="26"/>
  <c r="F11" i="26"/>
  <c r="D29" i="37"/>
  <c r="D32" i="37" s="1"/>
  <c r="J9" i="18"/>
  <c r="J27" i="18"/>
  <c r="J17" i="18"/>
  <c r="J35" i="18"/>
  <c r="D7" i="16"/>
  <c r="N7" i="16"/>
  <c r="J7" i="16"/>
  <c r="D30" i="17"/>
  <c r="D23" i="17"/>
  <c r="D14" i="17"/>
  <c r="D7" i="17"/>
  <c r="H29" i="37"/>
  <c r="H32" i="37" s="1"/>
  <c r="D35" i="18"/>
  <c r="D27" i="18"/>
  <c r="D17" i="18"/>
  <c r="D9" i="18"/>
  <c r="E29" i="37"/>
  <c r="E32" i="37" s="1"/>
  <c r="J28" i="37"/>
  <c r="C29" i="37"/>
  <c r="C32" i="37" s="1"/>
  <c r="G29" i="37"/>
  <c r="G32" i="37" s="1"/>
  <c r="F29" i="37"/>
  <c r="F32" i="37" s="1"/>
  <c r="I8" i="34"/>
  <c r="I9" i="34"/>
  <c r="H8" i="34"/>
  <c r="K5" i="14" l="1"/>
  <c r="C5" i="14"/>
  <c r="H5" i="13"/>
  <c r="C5" i="13"/>
  <c r="G5" i="12"/>
  <c r="C5" i="12"/>
  <c r="J5" i="11"/>
  <c r="C5" i="11"/>
  <c r="K5" i="10"/>
  <c r="C5" i="10"/>
  <c r="C5" i="9"/>
  <c r="I5" i="9"/>
  <c r="C20" i="8"/>
  <c r="C19" i="8"/>
  <c r="C18" i="8"/>
  <c r="C17" i="8"/>
  <c r="J6" i="8"/>
  <c r="C6" i="8"/>
  <c r="J7" i="7"/>
  <c r="C7" i="7"/>
  <c r="G22" i="8" l="1"/>
  <c r="I22" i="8" s="1"/>
  <c r="I24" i="8" s="1"/>
  <c r="I27" i="8" s="1"/>
  <c r="D7" i="12"/>
  <c r="D28" i="12"/>
  <c r="D21" i="12"/>
  <c r="D14" i="12"/>
  <c r="O5" i="6"/>
  <c r="C5" i="6"/>
  <c r="I5" i="5"/>
  <c r="C5" i="5"/>
  <c r="J3" i="36"/>
  <c r="C3" i="36"/>
  <c r="C30" i="36"/>
  <c r="E30" i="36" s="1"/>
  <c r="C29" i="36"/>
  <c r="E29" i="36" s="1"/>
  <c r="C28" i="36"/>
  <c r="E28" i="36" s="1"/>
  <c r="C27" i="36"/>
  <c r="E27" i="36" s="1"/>
  <c r="C26" i="36"/>
  <c r="E26" i="36" s="1"/>
  <c r="K22" i="36"/>
  <c r="J22" i="36"/>
  <c r="I22" i="36"/>
  <c r="H22" i="36"/>
  <c r="G22" i="36"/>
  <c r="F22" i="36"/>
  <c r="E22" i="36"/>
  <c r="D22" i="36"/>
  <c r="C22" i="36"/>
  <c r="I3" i="35"/>
  <c r="H9" i="35" s="1"/>
  <c r="I9" i="35" s="1"/>
  <c r="C3" i="35"/>
  <c r="H28" i="35"/>
  <c r="I28" i="35" s="1"/>
  <c r="G28" i="35"/>
  <c r="H27" i="35"/>
  <c r="I27" i="35" s="1"/>
  <c r="G27" i="35"/>
  <c r="H26" i="35"/>
  <c r="I26" i="35" s="1"/>
  <c r="G26" i="35"/>
  <c r="H25" i="35"/>
  <c r="I25" i="35" s="1"/>
  <c r="G25" i="35"/>
  <c r="H24" i="35"/>
  <c r="I24" i="35" s="1"/>
  <c r="G24" i="35"/>
  <c r="H23" i="35"/>
  <c r="I23" i="35" s="1"/>
  <c r="G23" i="35"/>
  <c r="H22" i="35"/>
  <c r="I22" i="35" s="1"/>
  <c r="G22" i="35"/>
  <c r="H21" i="35"/>
  <c r="I21" i="35" s="1"/>
  <c r="G21" i="35"/>
  <c r="H20" i="35"/>
  <c r="I20" i="35" s="1"/>
  <c r="G20" i="35"/>
  <c r="H19" i="35"/>
  <c r="I19" i="35" s="1"/>
  <c r="G19" i="35"/>
  <c r="H18" i="35"/>
  <c r="I18" i="35" s="1"/>
  <c r="G18" i="35"/>
  <c r="H17" i="35"/>
  <c r="I17" i="35" s="1"/>
  <c r="G17" i="35"/>
  <c r="H16" i="35"/>
  <c r="I16" i="35" s="1"/>
  <c r="G16" i="35"/>
  <c r="H15" i="35"/>
  <c r="I15" i="35" s="1"/>
  <c r="G15" i="35"/>
  <c r="H14" i="35"/>
  <c r="I14" i="35" s="1"/>
  <c r="G14" i="35"/>
  <c r="H13" i="35"/>
  <c r="I13" i="35" s="1"/>
  <c r="G13" i="35"/>
  <c r="H12" i="35"/>
  <c r="I12" i="35" s="1"/>
  <c r="G12" i="35"/>
  <c r="H11" i="35"/>
  <c r="I11" i="35" s="1"/>
  <c r="G11" i="35"/>
  <c r="H10" i="35"/>
  <c r="I10" i="35" s="1"/>
  <c r="G10" i="35"/>
  <c r="H9" i="34"/>
  <c r="H4" i="34"/>
  <c r="C4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G16" i="34"/>
  <c r="F16" i="34"/>
  <c r="E16" i="34"/>
  <c r="D16" i="34"/>
  <c r="G3" i="33"/>
  <c r="C3" i="33"/>
  <c r="G35" i="33"/>
  <c r="G34" i="33"/>
  <c r="G33" i="33"/>
  <c r="G25" i="33"/>
  <c r="G24" i="33"/>
  <c r="G23" i="33"/>
  <c r="G22" i="33"/>
  <c r="G9" i="33"/>
  <c r="G8" i="33"/>
  <c r="G7" i="33"/>
  <c r="H5" i="32"/>
  <c r="C5" i="32"/>
  <c r="F36" i="32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G5" i="31"/>
  <c r="C5" i="31"/>
  <c r="F36" i="31"/>
  <c r="E36" i="31"/>
  <c r="D36" i="31"/>
  <c r="G35" i="31"/>
  <c r="G34" i="31"/>
  <c r="G33" i="31"/>
  <c r="G32" i="31"/>
  <c r="G31" i="31"/>
  <c r="F28" i="31"/>
  <c r="E28" i="31"/>
  <c r="D28" i="31"/>
  <c r="G27" i="31"/>
  <c r="G26" i="31"/>
  <c r="G25" i="31"/>
  <c r="G24" i="31"/>
  <c r="G23" i="31"/>
  <c r="F20" i="31"/>
  <c r="E20" i="31"/>
  <c r="D20" i="31"/>
  <c r="G19" i="31"/>
  <c r="G18" i="31"/>
  <c r="G17" i="31"/>
  <c r="G16" i="31"/>
  <c r="G15" i="31"/>
  <c r="F12" i="31"/>
  <c r="E12" i="31"/>
  <c r="D12" i="31"/>
  <c r="G11" i="31"/>
  <c r="G10" i="31"/>
  <c r="G9" i="31"/>
  <c r="G8" i="31"/>
  <c r="F3" i="29"/>
  <c r="C3" i="29"/>
  <c r="C3" i="28"/>
  <c r="G3" i="28"/>
  <c r="D39" i="28"/>
  <c r="C39" i="28"/>
  <c r="F40" i="28" s="1"/>
  <c r="G38" i="28"/>
  <c r="F38" i="28"/>
  <c r="G37" i="28"/>
  <c r="F37" i="28"/>
  <c r="F36" i="28"/>
  <c r="G36" i="28" s="1"/>
  <c r="F35" i="28"/>
  <c r="G35" i="28" s="1"/>
  <c r="G34" i="28"/>
  <c r="F34" i="28"/>
  <c r="F33" i="28"/>
  <c r="G33" i="28" s="1"/>
  <c r="F32" i="28"/>
  <c r="G32" i="28" s="1"/>
  <c r="F31" i="28"/>
  <c r="G31" i="28" s="1"/>
  <c r="F30" i="28"/>
  <c r="G30" i="28" s="1"/>
  <c r="F29" i="28"/>
  <c r="G29" i="28" s="1"/>
  <c r="F28" i="28"/>
  <c r="G28" i="28" s="1"/>
  <c r="F27" i="28"/>
  <c r="G27" i="28" s="1"/>
  <c r="F26" i="28"/>
  <c r="G26" i="28" s="1"/>
  <c r="G22" i="28"/>
  <c r="C22" i="28"/>
  <c r="H6" i="27"/>
  <c r="C11" i="28" s="1"/>
  <c r="G6" i="27"/>
  <c r="C10" i="28" s="1"/>
  <c r="F6" i="27"/>
  <c r="C9" i="28" s="1"/>
  <c r="E6" i="27"/>
  <c r="C8" i="28" s="1"/>
  <c r="D6" i="27"/>
  <c r="C7" i="28" s="1"/>
  <c r="C6" i="27"/>
  <c r="C6" i="28" s="1"/>
  <c r="C3" i="27"/>
  <c r="J3" i="27"/>
  <c r="J34" i="27"/>
  <c r="I34" i="27"/>
  <c r="J30" i="27"/>
  <c r="I30" i="27"/>
  <c r="H30" i="27"/>
  <c r="D11" i="28" s="1"/>
  <c r="G30" i="27"/>
  <c r="D10" i="28" s="1"/>
  <c r="F30" i="27"/>
  <c r="E30" i="27"/>
  <c r="D8" i="28" s="1"/>
  <c r="G8" i="28" s="1"/>
  <c r="D30" i="27"/>
  <c r="D7" i="28" s="1"/>
  <c r="C30" i="27"/>
  <c r="C31" i="27" s="1"/>
  <c r="C34" i="27" s="1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G32" i="26"/>
  <c r="D32" i="26"/>
  <c r="H30" i="26"/>
  <c r="H29" i="26"/>
  <c r="H28" i="26"/>
  <c r="H27" i="26"/>
  <c r="H26" i="26"/>
  <c r="H25" i="26"/>
  <c r="H24" i="26"/>
  <c r="H23" i="26"/>
  <c r="H22" i="26"/>
  <c r="H21" i="26"/>
  <c r="H19" i="26"/>
  <c r="G17" i="26"/>
  <c r="D17" i="26"/>
  <c r="H15" i="26"/>
  <c r="H14" i="26"/>
  <c r="H13" i="26"/>
  <c r="H12" i="26"/>
  <c r="H11" i="26"/>
  <c r="H10" i="26"/>
  <c r="H9" i="26"/>
  <c r="C34" i="26"/>
  <c r="C5" i="26"/>
  <c r="G32" i="25"/>
  <c r="D32" i="25"/>
  <c r="H19" i="25"/>
  <c r="G17" i="25"/>
  <c r="D17" i="25"/>
  <c r="H5" i="25"/>
  <c r="C5" i="25"/>
  <c r="G32" i="24"/>
  <c r="D32" i="24"/>
  <c r="H19" i="24"/>
  <c r="G17" i="24"/>
  <c r="D17" i="24"/>
  <c r="H5" i="24"/>
  <c r="C5" i="24"/>
  <c r="C5" i="23"/>
  <c r="C34" i="23"/>
  <c r="H32" i="23"/>
  <c r="E32" i="23"/>
  <c r="I30" i="23"/>
  <c r="G30" i="23"/>
  <c r="I29" i="23"/>
  <c r="G29" i="23"/>
  <c r="I28" i="23"/>
  <c r="G28" i="23"/>
  <c r="I27" i="23"/>
  <c r="G27" i="23"/>
  <c r="I26" i="23"/>
  <c r="G26" i="23"/>
  <c r="I25" i="23"/>
  <c r="G25" i="23"/>
  <c r="I24" i="23"/>
  <c r="G24" i="23"/>
  <c r="I23" i="23"/>
  <c r="G23" i="23"/>
  <c r="I22" i="23"/>
  <c r="G22" i="23"/>
  <c r="I21" i="23"/>
  <c r="G21" i="23"/>
  <c r="H17" i="23"/>
  <c r="E17" i="23"/>
  <c r="I15" i="23"/>
  <c r="G15" i="23"/>
  <c r="I14" i="23"/>
  <c r="G14" i="23"/>
  <c r="I13" i="23"/>
  <c r="G13" i="23"/>
  <c r="I12" i="23"/>
  <c r="G12" i="23"/>
  <c r="I11" i="23"/>
  <c r="G11" i="23"/>
  <c r="I10" i="23"/>
  <c r="G10" i="23"/>
  <c r="I9" i="23"/>
  <c r="G9" i="23"/>
  <c r="I19" i="23"/>
  <c r="C34" i="25" l="1"/>
  <c r="F23" i="25"/>
  <c r="H23" i="25" s="1"/>
  <c r="F25" i="25"/>
  <c r="H25" i="25" s="1"/>
  <c r="F27" i="25"/>
  <c r="H27" i="25" s="1"/>
  <c r="F29" i="25"/>
  <c r="H29" i="25" s="1"/>
  <c r="F21" i="25"/>
  <c r="H21" i="25" s="1"/>
  <c r="F11" i="25"/>
  <c r="H11" i="25" s="1"/>
  <c r="F13" i="25"/>
  <c r="H13" i="25" s="1"/>
  <c r="F15" i="25"/>
  <c r="H15" i="25" s="1"/>
  <c r="F22" i="25"/>
  <c r="H22" i="25" s="1"/>
  <c r="H32" i="25" s="1"/>
  <c r="F24" i="25"/>
  <c r="H24" i="25" s="1"/>
  <c r="F26" i="25"/>
  <c r="H26" i="25" s="1"/>
  <c r="F28" i="25"/>
  <c r="H28" i="25" s="1"/>
  <c r="F30" i="25"/>
  <c r="H30" i="25" s="1"/>
  <c r="F10" i="25"/>
  <c r="H10" i="25" s="1"/>
  <c r="F12" i="25"/>
  <c r="H12" i="25" s="1"/>
  <c r="F14" i="25"/>
  <c r="H14" i="25" s="1"/>
  <c r="F9" i="25"/>
  <c r="H9" i="25" s="1"/>
  <c r="C34" i="24"/>
  <c r="F23" i="24"/>
  <c r="H23" i="24" s="1"/>
  <c r="F25" i="24"/>
  <c r="H25" i="24" s="1"/>
  <c r="F27" i="24"/>
  <c r="H27" i="24" s="1"/>
  <c r="F29" i="24"/>
  <c r="H29" i="24" s="1"/>
  <c r="F21" i="24"/>
  <c r="H21" i="24" s="1"/>
  <c r="F10" i="24"/>
  <c r="H10" i="24" s="1"/>
  <c r="F12" i="24"/>
  <c r="H12" i="24" s="1"/>
  <c r="F14" i="24"/>
  <c r="H14" i="24" s="1"/>
  <c r="F9" i="24"/>
  <c r="H9" i="24" s="1"/>
  <c r="F22" i="24"/>
  <c r="H22" i="24" s="1"/>
  <c r="F24" i="24"/>
  <c r="H24" i="24" s="1"/>
  <c r="F26" i="24"/>
  <c r="H26" i="24" s="1"/>
  <c r="F28" i="24"/>
  <c r="H28" i="24" s="1"/>
  <c r="F30" i="24"/>
  <c r="H30" i="24" s="1"/>
  <c r="F11" i="24"/>
  <c r="H11" i="24" s="1"/>
  <c r="F13" i="24"/>
  <c r="H13" i="24" s="1"/>
  <c r="F15" i="24"/>
  <c r="H15" i="24" s="1"/>
  <c r="G36" i="31"/>
  <c r="I30" i="35"/>
  <c r="I32" i="23"/>
  <c r="F31" i="27"/>
  <c r="F34" i="27" s="1"/>
  <c r="G30" i="31"/>
  <c r="D14" i="31"/>
  <c r="D7" i="31"/>
  <c r="D22" i="31"/>
  <c r="D30" i="31"/>
  <c r="G10" i="28"/>
  <c r="G26" i="32"/>
  <c r="H26" i="32" s="1"/>
  <c r="G34" i="32"/>
  <c r="H34" i="32" s="1"/>
  <c r="G27" i="32"/>
  <c r="H27" i="32" s="1"/>
  <c r="G28" i="32"/>
  <c r="H28" i="32" s="1"/>
  <c r="G29" i="32"/>
  <c r="H29" i="32" s="1"/>
  <c r="G30" i="32"/>
  <c r="H30" i="32" s="1"/>
  <c r="G25" i="32"/>
  <c r="H25" i="32" s="1"/>
  <c r="G31" i="32"/>
  <c r="H31" i="32" s="1"/>
  <c r="G32" i="32"/>
  <c r="H32" i="32" s="1"/>
  <c r="G33" i="32"/>
  <c r="H33" i="32" s="1"/>
  <c r="D9" i="28"/>
  <c r="G7" i="28"/>
  <c r="D6" i="28"/>
  <c r="D12" i="28" s="1"/>
  <c r="F7" i="29"/>
  <c r="H17" i="26"/>
  <c r="D31" i="27"/>
  <c r="D34" i="27" s="1"/>
  <c r="G12" i="31"/>
  <c r="E31" i="27"/>
  <c r="E34" i="27" s="1"/>
  <c r="G28" i="31"/>
  <c r="G31" i="27"/>
  <c r="G34" i="27" s="1"/>
  <c r="F34" i="26"/>
  <c r="H34" i="26" s="1"/>
  <c r="H36" i="26" s="1"/>
  <c r="H31" i="27"/>
  <c r="H34" i="27" s="1"/>
  <c r="F39" i="28"/>
  <c r="G18" i="33"/>
  <c r="H17" i="24"/>
  <c r="K30" i="27"/>
  <c r="G34" i="23"/>
  <c r="I34" i="23" s="1"/>
  <c r="I36" i="23" s="1"/>
  <c r="I17" i="23"/>
  <c r="H32" i="24"/>
  <c r="H32" i="26"/>
  <c r="G20" i="31"/>
  <c r="G39" i="28"/>
  <c r="G39" i="33"/>
  <c r="H9" i="32"/>
  <c r="H10" i="34"/>
  <c r="I11" i="34"/>
  <c r="H11" i="34"/>
  <c r="I10" i="34"/>
  <c r="E13" i="34"/>
  <c r="G13" i="34"/>
  <c r="C13" i="34"/>
  <c r="F13" i="34"/>
  <c r="D13" i="34"/>
  <c r="E38" i="31"/>
  <c r="D38" i="31"/>
  <c r="F38" i="31"/>
  <c r="G22" i="31"/>
  <c r="G7" i="31"/>
  <c r="G14" i="31"/>
  <c r="H13" i="34"/>
  <c r="I13" i="34"/>
  <c r="G29" i="33"/>
  <c r="G9" i="28"/>
  <c r="G11" i="28"/>
  <c r="I34" i="20"/>
  <c r="H34" i="20"/>
  <c r="I33" i="20"/>
  <c r="H33" i="20"/>
  <c r="I32" i="20"/>
  <c r="H32" i="20"/>
  <c r="I31" i="20"/>
  <c r="H31" i="20"/>
  <c r="I30" i="20"/>
  <c r="H30" i="20"/>
  <c r="I29" i="20"/>
  <c r="H29" i="20"/>
  <c r="I28" i="20"/>
  <c r="H28" i="20"/>
  <c r="I27" i="20"/>
  <c r="H27" i="20"/>
  <c r="I26" i="20"/>
  <c r="H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I19" i="20"/>
  <c r="H19" i="20"/>
  <c r="I18" i="20"/>
  <c r="H18" i="20"/>
  <c r="I17" i="20"/>
  <c r="H17" i="20"/>
  <c r="I16" i="20"/>
  <c r="H16" i="20"/>
  <c r="I15" i="20"/>
  <c r="H15" i="20"/>
  <c r="I14" i="20"/>
  <c r="H14" i="20"/>
  <c r="I13" i="20"/>
  <c r="H13" i="20"/>
  <c r="I12" i="20"/>
  <c r="H12" i="20"/>
  <c r="I11" i="20"/>
  <c r="H11" i="20"/>
  <c r="I10" i="20"/>
  <c r="H10" i="20"/>
  <c r="I9" i="20"/>
  <c r="H9" i="20"/>
  <c r="G41" i="18"/>
  <c r="F41" i="18"/>
  <c r="E41" i="18"/>
  <c r="C41" i="18"/>
  <c r="H39" i="18"/>
  <c r="O39" i="18" s="1"/>
  <c r="P39" i="18" s="1"/>
  <c r="Q39" i="18" s="1"/>
  <c r="H38" i="18"/>
  <c r="O38" i="18" s="1"/>
  <c r="P38" i="18" s="1"/>
  <c r="Q38" i="18" s="1"/>
  <c r="H37" i="18"/>
  <c r="O37" i="18" s="1"/>
  <c r="P37" i="18" s="1"/>
  <c r="Q37" i="18" s="1"/>
  <c r="H36" i="18"/>
  <c r="O36" i="18" s="1"/>
  <c r="P36" i="18" s="1"/>
  <c r="Q36" i="18" s="1"/>
  <c r="G33" i="18"/>
  <c r="F33" i="18"/>
  <c r="E33" i="18"/>
  <c r="C33" i="18"/>
  <c r="H31" i="18"/>
  <c r="O31" i="18" s="1"/>
  <c r="P31" i="18" s="1"/>
  <c r="Q31" i="18" s="1"/>
  <c r="H30" i="18"/>
  <c r="O30" i="18" s="1"/>
  <c r="P30" i="18" s="1"/>
  <c r="Q30" i="18" s="1"/>
  <c r="H29" i="18"/>
  <c r="O29" i="18" s="1"/>
  <c r="P29" i="18" s="1"/>
  <c r="Q29" i="18" s="1"/>
  <c r="H28" i="18"/>
  <c r="O28" i="18" s="1"/>
  <c r="P28" i="18" s="1"/>
  <c r="Q28" i="18" s="1"/>
  <c r="G25" i="18"/>
  <c r="F25" i="18"/>
  <c r="E25" i="18"/>
  <c r="C25" i="18"/>
  <c r="H23" i="18"/>
  <c r="O23" i="18" s="1"/>
  <c r="P23" i="18" s="1"/>
  <c r="Q23" i="18" s="1"/>
  <c r="H22" i="18"/>
  <c r="O22" i="18" s="1"/>
  <c r="P22" i="18" s="1"/>
  <c r="Q22" i="18" s="1"/>
  <c r="H21" i="18"/>
  <c r="O21" i="18" s="1"/>
  <c r="P21" i="18" s="1"/>
  <c r="Q21" i="18" s="1"/>
  <c r="H20" i="18"/>
  <c r="O20" i="18" s="1"/>
  <c r="P20" i="18" s="1"/>
  <c r="Q20" i="18" s="1"/>
  <c r="H19" i="18"/>
  <c r="O19" i="18" s="1"/>
  <c r="P19" i="18" s="1"/>
  <c r="Q19" i="18" s="1"/>
  <c r="H18" i="18"/>
  <c r="O18" i="18" s="1"/>
  <c r="P18" i="18" s="1"/>
  <c r="Q18" i="18" s="1"/>
  <c r="G15" i="18"/>
  <c r="F15" i="18"/>
  <c r="E15" i="18"/>
  <c r="C15" i="18"/>
  <c r="H13" i="18"/>
  <c r="O13" i="18" s="1"/>
  <c r="P13" i="18" s="1"/>
  <c r="Q13" i="18" s="1"/>
  <c r="H12" i="18"/>
  <c r="O12" i="18" s="1"/>
  <c r="P12" i="18" s="1"/>
  <c r="Q12" i="18" s="1"/>
  <c r="H11" i="18"/>
  <c r="O11" i="18" s="1"/>
  <c r="P11" i="18" s="1"/>
  <c r="Q11" i="18" s="1"/>
  <c r="H10" i="18"/>
  <c r="O10" i="18" s="1"/>
  <c r="P10" i="18" s="1"/>
  <c r="Q10" i="18" s="1"/>
  <c r="H35" i="18"/>
  <c r="G35" i="17"/>
  <c r="F35" i="17"/>
  <c r="E35" i="17"/>
  <c r="C35" i="17"/>
  <c r="H34" i="17"/>
  <c r="H33" i="17"/>
  <c r="H32" i="17"/>
  <c r="H31" i="17"/>
  <c r="G28" i="17"/>
  <c r="F28" i="17"/>
  <c r="E28" i="17"/>
  <c r="C28" i="17"/>
  <c r="H27" i="17"/>
  <c r="H26" i="17"/>
  <c r="H25" i="17"/>
  <c r="H24" i="17"/>
  <c r="G21" i="17"/>
  <c r="F21" i="17"/>
  <c r="E21" i="17"/>
  <c r="C21" i="17"/>
  <c r="H20" i="17"/>
  <c r="H19" i="17"/>
  <c r="H18" i="17"/>
  <c r="H17" i="17"/>
  <c r="H16" i="17"/>
  <c r="H15" i="17"/>
  <c r="G12" i="17"/>
  <c r="F12" i="17"/>
  <c r="E12" i="17"/>
  <c r="C12" i="17"/>
  <c r="H11" i="17"/>
  <c r="H10" i="17"/>
  <c r="H9" i="17"/>
  <c r="H8" i="17"/>
  <c r="H30" i="17"/>
  <c r="G21" i="16"/>
  <c r="F21" i="16"/>
  <c r="E21" i="16"/>
  <c r="C21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B23" i="14"/>
  <c r="C23" i="14" s="1"/>
  <c r="C21" i="14"/>
  <c r="B17" i="14"/>
  <c r="F16" i="14"/>
  <c r="F36" i="13"/>
  <c r="G34" i="13"/>
  <c r="H34" i="13" s="1"/>
  <c r="F33" i="12"/>
  <c r="E33" i="12"/>
  <c r="D33" i="12"/>
  <c r="G32" i="12"/>
  <c r="G31" i="12"/>
  <c r="G30" i="12"/>
  <c r="G29" i="12"/>
  <c r="F26" i="12"/>
  <c r="E26" i="12"/>
  <c r="D26" i="12"/>
  <c r="G25" i="12"/>
  <c r="G24" i="12"/>
  <c r="G23" i="12"/>
  <c r="G22" i="12"/>
  <c r="F19" i="12"/>
  <c r="E19" i="12"/>
  <c r="D19" i="12"/>
  <c r="G18" i="12"/>
  <c r="G17" i="12"/>
  <c r="G16" i="12"/>
  <c r="G15" i="12"/>
  <c r="F12" i="12"/>
  <c r="E12" i="12"/>
  <c r="D12" i="12"/>
  <c r="G11" i="12"/>
  <c r="G10" i="12"/>
  <c r="G9" i="12"/>
  <c r="G8" i="12"/>
  <c r="H36" i="11"/>
  <c r="F36" i="11"/>
  <c r="E36" i="11"/>
  <c r="I36" i="11"/>
  <c r="G9" i="11"/>
  <c r="G36" i="11" s="1"/>
  <c r="I36" i="10"/>
  <c r="H36" i="10"/>
  <c r="F36" i="10"/>
  <c r="E36" i="10"/>
  <c r="J34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J36" i="10"/>
  <c r="G9" i="10"/>
  <c r="H35" i="9"/>
  <c r="E35" i="9"/>
  <c r="I33" i="9"/>
  <c r="I32" i="9"/>
  <c r="I31" i="9"/>
  <c r="I30" i="9"/>
  <c r="I29" i="9"/>
  <c r="I28" i="9"/>
  <c r="I27" i="9"/>
  <c r="I26" i="9"/>
  <c r="I25" i="9"/>
  <c r="I24" i="9"/>
  <c r="I21" i="9"/>
  <c r="H19" i="9"/>
  <c r="E19" i="9"/>
  <c r="I17" i="9"/>
  <c r="I16" i="9"/>
  <c r="I15" i="9"/>
  <c r="I14" i="9"/>
  <c r="I13" i="9"/>
  <c r="I12" i="9"/>
  <c r="I11" i="9"/>
  <c r="I10" i="9"/>
  <c r="G33" i="9"/>
  <c r="D34" i="7"/>
  <c r="D15" i="8" s="1"/>
  <c r="H32" i="7"/>
  <c r="J32" i="7" s="1"/>
  <c r="H31" i="7"/>
  <c r="J31" i="7" s="1"/>
  <c r="H30" i="7"/>
  <c r="J30" i="7" s="1"/>
  <c r="H29" i="7"/>
  <c r="J29" i="7" s="1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4" i="7"/>
  <c r="J14" i="7" s="1"/>
  <c r="H13" i="7"/>
  <c r="J13" i="7" s="1"/>
  <c r="H12" i="7"/>
  <c r="J12" i="7" s="1"/>
  <c r="H11" i="7"/>
  <c r="J11" i="7" s="1"/>
  <c r="J34" i="6"/>
  <c r="J33" i="6"/>
  <c r="J32" i="6"/>
  <c r="J31" i="6"/>
  <c r="J30" i="6"/>
  <c r="M30" i="6" s="1"/>
  <c r="J29" i="6"/>
  <c r="J28" i="6"/>
  <c r="J27" i="6"/>
  <c r="J26" i="6"/>
  <c r="J25" i="6"/>
  <c r="J24" i="6"/>
  <c r="M24" i="6" s="1"/>
  <c r="J23" i="6"/>
  <c r="J22" i="6"/>
  <c r="J21" i="6"/>
  <c r="J20" i="6"/>
  <c r="J19" i="6"/>
  <c r="J18" i="6"/>
  <c r="M18" i="6" s="1"/>
  <c r="J17" i="6"/>
  <c r="J16" i="6"/>
  <c r="J15" i="6"/>
  <c r="J14" i="6"/>
  <c r="M14" i="6" s="1"/>
  <c r="J13" i="6"/>
  <c r="J12" i="6"/>
  <c r="M12" i="6" s="1"/>
  <c r="J11" i="6"/>
  <c r="J10" i="6"/>
  <c r="J9" i="6"/>
  <c r="L9" i="6" s="1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H17" i="25" l="1"/>
  <c r="H34" i="25"/>
  <c r="H36" i="25" s="1"/>
  <c r="H34" i="24"/>
  <c r="H36" i="24" s="1"/>
  <c r="G12" i="12"/>
  <c r="G19" i="12"/>
  <c r="G33" i="12"/>
  <c r="N24" i="6"/>
  <c r="O24" i="6"/>
  <c r="L26" i="6"/>
  <c r="M26" i="6"/>
  <c r="L27" i="6"/>
  <c r="M27" i="6"/>
  <c r="O12" i="6"/>
  <c r="N12" i="6"/>
  <c r="O14" i="6"/>
  <c r="N14" i="6"/>
  <c r="L28" i="6"/>
  <c r="M28" i="6"/>
  <c r="L29" i="6"/>
  <c r="M29" i="6"/>
  <c r="L13" i="6"/>
  <c r="M13" i="6"/>
  <c r="O30" i="6"/>
  <c r="N30" i="6"/>
  <c r="L16" i="6"/>
  <c r="M16" i="6"/>
  <c r="L31" i="6"/>
  <c r="M31" i="6"/>
  <c r="L32" i="6"/>
  <c r="M32" i="6"/>
  <c r="L25" i="6"/>
  <c r="M25" i="6"/>
  <c r="L33" i="6"/>
  <c r="M33" i="6"/>
  <c r="L15" i="6"/>
  <c r="M15" i="6"/>
  <c r="L20" i="6"/>
  <c r="M20" i="6"/>
  <c r="L21" i="6"/>
  <c r="M21" i="6"/>
  <c r="L10" i="6"/>
  <c r="M10" i="6"/>
  <c r="L22" i="6"/>
  <c r="M22" i="6"/>
  <c r="L34" i="6"/>
  <c r="M34" i="6"/>
  <c r="L17" i="6"/>
  <c r="M17" i="6"/>
  <c r="L19" i="6"/>
  <c r="M19" i="6"/>
  <c r="L11" i="6"/>
  <c r="M11" i="6"/>
  <c r="L23" i="6"/>
  <c r="M23" i="6"/>
  <c r="N18" i="6"/>
  <c r="O18" i="6"/>
  <c r="G38" i="31"/>
  <c r="N12" i="16"/>
  <c r="O12" i="16" s="1"/>
  <c r="N13" i="16"/>
  <c r="N14" i="16"/>
  <c r="O14" i="16" s="1"/>
  <c r="N15" i="16"/>
  <c r="O15" i="16" s="1"/>
  <c r="N16" i="16"/>
  <c r="O16" i="16" s="1"/>
  <c r="N17" i="16"/>
  <c r="O17" i="16" s="1"/>
  <c r="N18" i="16"/>
  <c r="O18" i="16" s="1"/>
  <c r="N11" i="16"/>
  <c r="O11" i="16" s="1"/>
  <c r="N19" i="16"/>
  <c r="O19" i="16" s="1"/>
  <c r="N8" i="16"/>
  <c r="O8" i="16" s="1"/>
  <c r="N9" i="16"/>
  <c r="O9" i="16" s="1"/>
  <c r="N10" i="16"/>
  <c r="O10" i="16" s="1"/>
  <c r="H15" i="18"/>
  <c r="O15" i="18" s="1"/>
  <c r="P15" i="18" s="1"/>
  <c r="Q15" i="18" s="1"/>
  <c r="H35" i="17"/>
  <c r="H29" i="8"/>
  <c r="D16" i="8"/>
  <c r="J34" i="7"/>
  <c r="G36" i="32"/>
  <c r="H36" i="32"/>
  <c r="L14" i="6"/>
  <c r="L18" i="6"/>
  <c r="L30" i="6"/>
  <c r="L12" i="6"/>
  <c r="L24" i="6"/>
  <c r="G6" i="28"/>
  <c r="J36" i="6"/>
  <c r="H21" i="17"/>
  <c r="J33" i="19"/>
  <c r="I36" i="20"/>
  <c r="H34" i="7"/>
  <c r="H12" i="17"/>
  <c r="I35" i="9"/>
  <c r="G36" i="10"/>
  <c r="H41" i="18"/>
  <c r="O41" i="18" s="1"/>
  <c r="P41" i="18" s="1"/>
  <c r="Q41" i="18" s="1"/>
  <c r="H33" i="18"/>
  <c r="O33" i="18" s="1"/>
  <c r="P33" i="18" s="1"/>
  <c r="Q33" i="18" s="1"/>
  <c r="I35" i="5"/>
  <c r="H28" i="17"/>
  <c r="G26" i="12"/>
  <c r="H21" i="16"/>
  <c r="H25" i="18"/>
  <c r="O25" i="18" s="1"/>
  <c r="P25" i="18" s="1"/>
  <c r="Q25" i="18" s="1"/>
  <c r="C43" i="18"/>
  <c r="F43" i="18"/>
  <c r="E43" i="18"/>
  <c r="G43" i="18"/>
  <c r="C37" i="17"/>
  <c r="F37" i="17"/>
  <c r="E37" i="17"/>
  <c r="G37" i="17"/>
  <c r="F23" i="14"/>
  <c r="E35" i="12"/>
  <c r="D35" i="12"/>
  <c r="F35" i="12"/>
  <c r="I19" i="9"/>
  <c r="N9" i="6"/>
  <c r="G12" i="28"/>
  <c r="G42" i="28" s="1"/>
  <c r="F5" i="29" s="1"/>
  <c r="F18" i="29" s="1"/>
  <c r="D22" i="8"/>
  <c r="F22" i="8" s="1"/>
  <c r="H9" i="18"/>
  <c r="P9" i="18" s="1"/>
  <c r="H27" i="18"/>
  <c r="H17" i="18"/>
  <c r="H7" i="17"/>
  <c r="H23" i="17"/>
  <c r="H14" i="17"/>
  <c r="H7" i="16"/>
  <c r="B24" i="14"/>
  <c r="G9" i="13"/>
  <c r="G10" i="13"/>
  <c r="H10" i="13" s="1"/>
  <c r="G11" i="13"/>
  <c r="H11" i="13" s="1"/>
  <c r="G12" i="13"/>
  <c r="H12" i="13" s="1"/>
  <c r="G13" i="13"/>
  <c r="H13" i="13" s="1"/>
  <c r="G14" i="13"/>
  <c r="H14" i="13" s="1"/>
  <c r="G15" i="13"/>
  <c r="H15" i="13" s="1"/>
  <c r="G16" i="13"/>
  <c r="H16" i="13" s="1"/>
  <c r="G17" i="13"/>
  <c r="H17" i="13" s="1"/>
  <c r="G18" i="13"/>
  <c r="H18" i="13" s="1"/>
  <c r="G19" i="13"/>
  <c r="H19" i="13" s="1"/>
  <c r="G20" i="13"/>
  <c r="H20" i="13" s="1"/>
  <c r="G21" i="13"/>
  <c r="H21" i="13" s="1"/>
  <c r="G22" i="13"/>
  <c r="H22" i="13" s="1"/>
  <c r="G23" i="13"/>
  <c r="H23" i="13" s="1"/>
  <c r="G24" i="13"/>
  <c r="H24" i="13" s="1"/>
  <c r="G25" i="13"/>
  <c r="H25" i="13" s="1"/>
  <c r="G26" i="13"/>
  <c r="H26" i="13" s="1"/>
  <c r="G27" i="13"/>
  <c r="H27" i="13" s="1"/>
  <c r="G28" i="13"/>
  <c r="H28" i="13" s="1"/>
  <c r="G29" i="13"/>
  <c r="H29" i="13" s="1"/>
  <c r="G30" i="13"/>
  <c r="H30" i="13" s="1"/>
  <c r="G31" i="13"/>
  <c r="H31" i="13" s="1"/>
  <c r="G32" i="13"/>
  <c r="H32" i="13" s="1"/>
  <c r="G33" i="13"/>
  <c r="H33" i="13" s="1"/>
  <c r="G7" i="12"/>
  <c r="G14" i="12"/>
  <c r="G28" i="12"/>
  <c r="G21" i="12"/>
  <c r="C37" i="9"/>
  <c r="G10" i="9"/>
  <c r="G11" i="9"/>
  <c r="G12" i="9"/>
  <c r="G13" i="9"/>
  <c r="G14" i="9"/>
  <c r="G15" i="9"/>
  <c r="G16" i="9"/>
  <c r="G17" i="9"/>
  <c r="G24" i="9"/>
  <c r="G25" i="9"/>
  <c r="G26" i="9"/>
  <c r="G27" i="9"/>
  <c r="G28" i="9"/>
  <c r="G29" i="9"/>
  <c r="G30" i="9"/>
  <c r="G31" i="9"/>
  <c r="G32" i="9"/>
  <c r="G23" i="14" l="1"/>
  <c r="I23" i="14" s="1"/>
  <c r="K23" i="14" s="1"/>
  <c r="H23" i="14"/>
  <c r="J23" i="14" s="1"/>
  <c r="G35" i="12"/>
  <c r="O11" i="6"/>
  <c r="N11" i="6"/>
  <c r="N31" i="6"/>
  <c r="O31" i="6"/>
  <c r="O32" i="6"/>
  <c r="N32" i="6"/>
  <c r="N28" i="6"/>
  <c r="O28" i="6"/>
  <c r="N19" i="6"/>
  <c r="O19" i="6"/>
  <c r="O15" i="6"/>
  <c r="N15" i="6"/>
  <c r="O27" i="6"/>
  <c r="N27" i="6"/>
  <c r="O10" i="6"/>
  <c r="N10" i="6"/>
  <c r="O21" i="6"/>
  <c r="N21" i="6"/>
  <c r="O17" i="6"/>
  <c r="N17" i="6"/>
  <c r="N23" i="6"/>
  <c r="O23" i="6"/>
  <c r="N34" i="6"/>
  <c r="O34" i="6"/>
  <c r="O33" i="6"/>
  <c r="N33" i="6"/>
  <c r="O13" i="6"/>
  <c r="N13" i="6"/>
  <c r="O26" i="6"/>
  <c r="N26" i="6"/>
  <c r="O16" i="6"/>
  <c r="N16" i="6"/>
  <c r="L36" i="6"/>
  <c r="M36" i="6"/>
  <c r="O29" i="6"/>
  <c r="N29" i="6"/>
  <c r="N20" i="6"/>
  <c r="O20" i="6"/>
  <c r="N22" i="6"/>
  <c r="O22" i="6"/>
  <c r="N25" i="6"/>
  <c r="O25" i="6"/>
  <c r="N21" i="16"/>
  <c r="O13" i="16"/>
  <c r="O21" i="16"/>
  <c r="H43" i="18"/>
  <c r="O43" i="18" s="1"/>
  <c r="P43" i="18" s="1"/>
  <c r="Q43" i="18" s="1"/>
  <c r="J22" i="8"/>
  <c r="H36" i="7"/>
  <c r="J36" i="7" s="1"/>
  <c r="F16" i="8"/>
  <c r="J16" i="8" s="1"/>
  <c r="I29" i="8"/>
  <c r="H37" i="17"/>
  <c r="B42" i="28"/>
  <c r="C24" i="14"/>
  <c r="F24" i="14" s="1"/>
  <c r="B25" i="14"/>
  <c r="G36" i="13"/>
  <c r="H9" i="13"/>
  <c r="H36" i="13" s="1"/>
  <c r="G37" i="9"/>
  <c r="I37" i="9" s="1"/>
  <c r="I39" i="9" s="1"/>
  <c r="G24" i="14" l="1"/>
  <c r="I24" i="14" s="1"/>
  <c r="K24" i="14" s="1"/>
  <c r="H24" i="14"/>
  <c r="J24" i="14" s="1"/>
  <c r="O36" i="6"/>
  <c r="N36" i="6"/>
  <c r="F24" i="8"/>
  <c r="F36" i="7"/>
  <c r="C25" i="14"/>
  <c r="F25" i="14" s="1"/>
  <c r="B26" i="14"/>
  <c r="B27" i="14" s="1"/>
  <c r="G25" i="14" l="1"/>
  <c r="I25" i="14" s="1"/>
  <c r="K25" i="14" s="1"/>
  <c r="H25" i="14"/>
  <c r="J25" i="14" s="1"/>
  <c r="F27" i="8"/>
  <c r="J24" i="8"/>
  <c r="C26" i="14"/>
  <c r="F26" i="14" s="1"/>
  <c r="G26" i="14" l="1"/>
  <c r="I26" i="14" s="1"/>
  <c r="K26" i="14" s="1"/>
  <c r="H26" i="14"/>
  <c r="J26" i="14" s="1"/>
  <c r="E29" i="8"/>
  <c r="J27" i="8"/>
  <c r="F29" i="8"/>
  <c r="J29" i="8" s="1"/>
  <c r="C27" i="14"/>
  <c r="F27" i="14" s="1"/>
  <c r="B28" i="14"/>
  <c r="G27" i="14" l="1"/>
  <c r="I27" i="14" s="1"/>
  <c r="K27" i="14" s="1"/>
  <c r="H27" i="14"/>
  <c r="J27" i="14" s="1"/>
  <c r="C28" i="14"/>
  <c r="F28" i="14" s="1"/>
  <c r="B29" i="14"/>
  <c r="G28" i="14" l="1"/>
  <c r="I28" i="14" s="1"/>
  <c r="K28" i="14" s="1"/>
  <c r="H28" i="14"/>
  <c r="J28" i="14" s="1"/>
  <c r="B30" i="14"/>
  <c r="C29" i="14"/>
  <c r="F29" i="14" s="1"/>
  <c r="G29" i="14" l="1"/>
  <c r="I29" i="14" s="1"/>
  <c r="K29" i="14" s="1"/>
  <c r="H29" i="14"/>
  <c r="J29" i="14" s="1"/>
  <c r="B31" i="14"/>
  <c r="C30" i="14"/>
  <c r="F30" i="14" s="1"/>
  <c r="G30" i="14" l="1"/>
  <c r="I30" i="14" s="1"/>
  <c r="K30" i="14" s="1"/>
  <c r="H30" i="14"/>
  <c r="J30" i="14" s="1"/>
  <c r="B32" i="14"/>
  <c r="C31" i="14"/>
  <c r="F31" i="14" s="1"/>
  <c r="G31" i="14" l="1"/>
  <c r="I31" i="14" s="1"/>
  <c r="K31" i="14" s="1"/>
  <c r="H31" i="14"/>
  <c r="J31" i="14" s="1"/>
  <c r="B33" i="14"/>
  <c r="C32" i="14"/>
  <c r="F32" i="14" s="1"/>
  <c r="G32" i="14" l="1"/>
  <c r="I32" i="14" s="1"/>
  <c r="K32" i="14" s="1"/>
  <c r="H32" i="14"/>
  <c r="J32" i="14" s="1"/>
  <c r="B34" i="14"/>
  <c r="C33" i="14"/>
  <c r="F33" i="14" s="1"/>
  <c r="G33" i="14" l="1"/>
  <c r="I33" i="14" s="1"/>
  <c r="K33" i="14" s="1"/>
  <c r="H33" i="14"/>
  <c r="J33" i="14" s="1"/>
  <c r="B35" i="14"/>
  <c r="C34" i="14"/>
  <c r="F34" i="14" s="1"/>
  <c r="G34" i="14" l="1"/>
  <c r="I34" i="14" s="1"/>
  <c r="K34" i="14" s="1"/>
  <c r="H34" i="14"/>
  <c r="J34" i="14" s="1"/>
  <c r="B36" i="14"/>
  <c r="C35" i="14"/>
  <c r="F35" i="14" s="1"/>
  <c r="G35" i="14" l="1"/>
  <c r="I35" i="14" s="1"/>
  <c r="K35" i="14" s="1"/>
  <c r="H35" i="14"/>
  <c r="J35" i="14" s="1"/>
  <c r="B37" i="14"/>
  <c r="C36" i="14"/>
  <c r="F36" i="14" s="1"/>
  <c r="G36" i="14" l="1"/>
  <c r="I36" i="14" s="1"/>
  <c r="K36" i="14" s="1"/>
  <c r="H36" i="14"/>
  <c r="J36" i="14" s="1"/>
  <c r="B38" i="14"/>
  <c r="C37" i="14"/>
  <c r="F37" i="14" s="1"/>
  <c r="G37" i="14" l="1"/>
  <c r="I37" i="14" s="1"/>
  <c r="K37" i="14" s="1"/>
  <c r="H37" i="14"/>
  <c r="J37" i="14" s="1"/>
  <c r="B39" i="14"/>
  <c r="C38" i="14"/>
  <c r="F38" i="14" s="1"/>
  <c r="G38" i="14" l="1"/>
  <c r="I38" i="14" s="1"/>
  <c r="K38" i="14" s="1"/>
  <c r="H38" i="14"/>
  <c r="J38" i="14" s="1"/>
  <c r="C39" i="14"/>
  <c r="F39" i="14" s="1"/>
  <c r="B40" i="14"/>
  <c r="G39" i="14" l="1"/>
  <c r="I39" i="14" s="1"/>
  <c r="K39" i="14" s="1"/>
  <c r="H39" i="14"/>
  <c r="J39" i="14" s="1"/>
  <c r="B41" i="14"/>
  <c r="C40" i="14"/>
  <c r="F40" i="14" s="1"/>
  <c r="G40" i="14" l="1"/>
  <c r="I40" i="14" s="1"/>
  <c r="K40" i="14" s="1"/>
  <c r="H40" i="14"/>
  <c r="J40" i="14" s="1"/>
  <c r="B42" i="14"/>
  <c r="C41" i="14"/>
  <c r="F41" i="14" s="1"/>
  <c r="G41" i="14" l="1"/>
  <c r="I41" i="14" s="1"/>
  <c r="K41" i="14" s="1"/>
  <c r="H41" i="14"/>
  <c r="J41" i="14" s="1"/>
  <c r="C42" i="14"/>
  <c r="F42" i="14" s="1"/>
  <c r="B43" i="14"/>
  <c r="C43" i="14" s="1"/>
  <c r="F43" i="14" s="1"/>
  <c r="G43" i="14" l="1"/>
  <c r="I43" i="14" s="1"/>
  <c r="K43" i="14" s="1"/>
  <c r="H43" i="14"/>
  <c r="J43" i="14" s="1"/>
  <c r="G42" i="14"/>
  <c r="I42" i="14" s="1"/>
  <c r="K42" i="14" s="1"/>
  <c r="H42" i="14"/>
  <c r="J42" i="14" s="1"/>
  <c r="F19" i="41" l="1"/>
  <c r="F14" i="41" l="1"/>
  <c r="F13" i="41"/>
  <c r="F15" i="41"/>
  <c r="F16" i="41"/>
  <c r="F35" i="41"/>
  <c r="F28" i="41"/>
  <c r="F44" i="41"/>
  <c r="F30" i="41"/>
  <c r="F43" i="41"/>
  <c r="F37" i="41"/>
  <c r="F34" i="41"/>
  <c r="F27" i="41"/>
  <c r="F42" i="41"/>
  <c r="F29" i="41"/>
  <c r="F41" i="41"/>
  <c r="F36" i="41"/>
  <c r="F21" i="41"/>
  <c r="F22" i="41"/>
  <c r="F23" i="41"/>
  <c r="F20" i="41"/>
</calcChain>
</file>

<file path=xl/sharedStrings.xml><?xml version="1.0" encoding="utf-8"?>
<sst xmlns="http://schemas.openxmlformats.org/spreadsheetml/2006/main" count="1188" uniqueCount="582">
  <si>
    <t>1. Versionshinweis</t>
  </si>
  <si>
    <t>Vorliegen einer aktuelleren Version in der NWB Datenbank prüfen.</t>
  </si>
  <si>
    <t xml:space="preserve">2. Eingabefelder </t>
  </si>
  <si>
    <t>Die Eingabefelder in den Arbeitsblättern sind gelb unterlegt.</t>
  </si>
  <si>
    <t>3. Schreibschutz / Kennwort</t>
  </si>
  <si>
    <t>Die Arbeitsblätter sind - abgesehen von den Eingabefeldern - mit einem Schreibschutz belegt.</t>
  </si>
  <si>
    <r>
      <t xml:space="preserve">Das </t>
    </r>
    <r>
      <rPr>
        <b/>
        <sz val="11"/>
        <rFont val="Calibri"/>
        <family val="2"/>
        <scheme val="minor"/>
      </rPr>
      <t>Kennwort für die Aufhebung des Schreibschutzes</t>
    </r>
    <r>
      <rPr>
        <sz val="11"/>
        <rFont val="Calibri"/>
        <family val="2"/>
        <scheme val="minor"/>
      </rPr>
      <t xml:space="preserve"> lautet:</t>
    </r>
  </si>
  <si>
    <t>nwbverlag</t>
  </si>
  <si>
    <t>Bitte beachten Sie, dass sich eine Veränderung der Gestaltung des Formulars auch</t>
  </si>
  <si>
    <t xml:space="preserve">auf die Richtigkeit der Berechnungsformeln auswirken können. </t>
  </si>
  <si>
    <t>Der NWB Verlag übernimmt keine Gewähr und keine Haftung für die Richtigkeit der Ergebnisse.</t>
  </si>
  <si>
    <t>Im Übrigen gelten die die aktuellen AGB der NWB Datenbank und des NWB Verlages.</t>
  </si>
  <si>
    <t>NWB Verlag GmbH &amp; Co. KG</t>
  </si>
  <si>
    <t>Eschstr. 22 · 44629 Herne</t>
  </si>
  <si>
    <t>Fon 02323.141-900 · Fax 02323.141-123</t>
  </si>
  <si>
    <t>E-Mail: info@nwb.de</t>
  </si>
  <si>
    <t>Internet: www.nwb.de</t>
  </si>
  <si>
    <t>Alle Rechte vorbehalten. Vervielfältigungen nur mit Zustimmung des Verlages.</t>
  </si>
  <si>
    <t>Die nachstehenden Tabellenblätter enthalten Arbeitshilfen zur Aufgliederung und Abstimmung von FiBu-Konten bzw. Bilanzpositionen. Eine Übersicht über die zur Verfügung stehenden Arbeitshilfen gibt das nächste Tabellenblatt "Inhaltsverzeichnis". Dem Inhaltsverzeichnis ist auch die Benennung der einzelnen Tabellenblätter zu entnehmen.</t>
  </si>
  <si>
    <t>Aktiva</t>
  </si>
  <si>
    <t>Forderungen aus LuL</t>
  </si>
  <si>
    <t>Ford. 1</t>
  </si>
  <si>
    <t>Ford. 2</t>
  </si>
  <si>
    <t>Fremdwährungsforderungen</t>
  </si>
  <si>
    <t>Ford. 3</t>
  </si>
  <si>
    <t>EWB auf Forderungen</t>
  </si>
  <si>
    <t>Ford. 4</t>
  </si>
  <si>
    <t>PWB auf Forderungen</t>
  </si>
  <si>
    <t>Ford. 5</t>
  </si>
  <si>
    <t>Sonstige Forderungen</t>
  </si>
  <si>
    <t>Bank 1</t>
  </si>
  <si>
    <t>Aufstellung der Kontokorrentkredite</t>
  </si>
  <si>
    <t>ARAP 1</t>
  </si>
  <si>
    <t>Entwicklung Aktive RAP's</t>
  </si>
  <si>
    <t>ARAP 2</t>
  </si>
  <si>
    <t>ARAP 3</t>
  </si>
  <si>
    <t>Passiva</t>
  </si>
  <si>
    <t>Rückstellungen</t>
  </si>
  <si>
    <t>Rückst. 1</t>
  </si>
  <si>
    <t>Pensionsrückstellungen</t>
  </si>
  <si>
    <t>Rückst. 2</t>
  </si>
  <si>
    <t>Entwicklung Steuerrückstellungen</t>
  </si>
  <si>
    <t>Rückst. 3</t>
  </si>
  <si>
    <t>Entwicklung sonstige Rückstellungen</t>
  </si>
  <si>
    <t>Rückst. 4</t>
  </si>
  <si>
    <t>Resturlaubsverpflichtungen</t>
  </si>
  <si>
    <t>Verbindlichkeiten aus LuL</t>
  </si>
  <si>
    <t>Verb. 1</t>
  </si>
  <si>
    <t>Verb. 2</t>
  </si>
  <si>
    <t>Fremdwährungsverbindlichkeiten</t>
  </si>
  <si>
    <t>Sonstige Verbindlichkeiten</t>
  </si>
  <si>
    <t>Sonst.Verb. 1</t>
  </si>
  <si>
    <t>Sonst.Verb. 2</t>
  </si>
  <si>
    <t>Sonst.Verb. 3</t>
  </si>
  <si>
    <t>Sonst.Verb. 4</t>
  </si>
  <si>
    <t>Umsatzsteuer</t>
  </si>
  <si>
    <t>USt 1</t>
  </si>
  <si>
    <t>Umsatzsteuerverprobung</t>
  </si>
  <si>
    <t>USt 2</t>
  </si>
  <si>
    <t>Umsatzsteuerberechnung</t>
  </si>
  <si>
    <t>USt 3</t>
  </si>
  <si>
    <t>Umsatzsteuerabstimmung</t>
  </si>
  <si>
    <t>USt 4</t>
  </si>
  <si>
    <t>Vorsteuerverprobung</t>
  </si>
  <si>
    <t>PRAP 1</t>
  </si>
  <si>
    <t>Entwicklung Passive RAP's</t>
  </si>
  <si>
    <t>PRAP 2</t>
  </si>
  <si>
    <t>Lohn</t>
  </si>
  <si>
    <t>Lohn 1</t>
  </si>
  <si>
    <t>Lohnverprobung</t>
  </si>
  <si>
    <t>Lohn 2</t>
  </si>
  <si>
    <t>Ermittlung Arbeitnehmerzahl</t>
  </si>
  <si>
    <t>Verträge</t>
  </si>
  <si>
    <t>Verträge 1</t>
  </si>
  <si>
    <t>Leasing- und Mietverträge</t>
  </si>
  <si>
    <t>Mandant</t>
  </si>
  <si>
    <t>Mandantennummer</t>
  </si>
  <si>
    <t>Datum</t>
  </si>
  <si>
    <t>Regelumsatzsteuersatz I</t>
  </si>
  <si>
    <t>Regelumsatzsteuersatz II</t>
  </si>
  <si>
    <t>ermäßigter Steuersatz I</t>
  </si>
  <si>
    <t>ermäßigter Steuersatz II</t>
  </si>
  <si>
    <t>Rechtsform (E=EU/PersG;G=GmbH)</t>
  </si>
  <si>
    <t>Name Kunde</t>
  </si>
  <si>
    <t>Debitor-Nr.</t>
  </si>
  <si>
    <t>RG-Datum</t>
  </si>
  <si>
    <t>Betrag</t>
  </si>
  <si>
    <t>Zahlungsdatum</t>
  </si>
  <si>
    <t>Laufzeit in Tagen</t>
  </si>
  <si>
    <t>Restbetrag</t>
  </si>
  <si>
    <t>Mustermann</t>
  </si>
  <si>
    <t>Summe</t>
  </si>
  <si>
    <t>Forderung in Fremdwährung</t>
  </si>
  <si>
    <t>Währung</t>
  </si>
  <si>
    <t>Kurs Bilanzstichtag in EUR</t>
  </si>
  <si>
    <t>Debitorenkonto</t>
  </si>
  <si>
    <t>Muster</t>
  </si>
  <si>
    <t xml:space="preserve">EWB gerundet </t>
  </si>
  <si>
    <t xml:space="preserve">EWB Vorjahr    </t>
  </si>
  <si>
    <t>Pauschalwertberichtigungen</t>
  </si>
  <si>
    <t>Debitoren Sollsalden laut Buchhaltung</t>
  </si>
  <si>
    <t>abzgl. gesicherte Forderungen (Bürgschaften etc.)</t>
  </si>
  <si>
    <t>abzgl. Forderungen öff. rechtl. Körperschaften</t>
  </si>
  <si>
    <t>abzgl. Forderungen gegen verbundene Unternehmen</t>
  </si>
  <si>
    <t>abzgl. Forderungen mit Einzelwertberichtigung</t>
  </si>
  <si>
    <t>Zwischensumme</t>
  </si>
  <si>
    <t>- davon Forderungen mit USt</t>
  </si>
  <si>
    <t>abzüglich darin enthaltene Umsatzsteuer</t>
  </si>
  <si>
    <t>PWB-Berichtigungssatz</t>
  </si>
  <si>
    <t>vorgegeben</t>
  </si>
  <si>
    <t>PWB gerundet</t>
  </si>
  <si>
    <t>I. Entwicklung Anfangsbestand</t>
  </si>
  <si>
    <t>Zahlungseingang</t>
  </si>
  <si>
    <t>Bezeichnung</t>
  </si>
  <si>
    <t>Konto-Nr.</t>
  </si>
  <si>
    <t>Summe Anfangsbestand</t>
  </si>
  <si>
    <t>II. Zugänge</t>
  </si>
  <si>
    <t>Summe Zugänge</t>
  </si>
  <si>
    <t>Sollbestand sonst. Forderungen</t>
  </si>
  <si>
    <t>Bestand lt. Bilanz</t>
  </si>
  <si>
    <t>Differenz</t>
  </si>
  <si>
    <t>Kreditinstitut</t>
  </si>
  <si>
    <t>Saldo</t>
  </si>
  <si>
    <t>Zinsen</t>
  </si>
  <si>
    <t>Sicherheiten</t>
  </si>
  <si>
    <t>Voba He/Ro</t>
  </si>
  <si>
    <t>123 456 789</t>
  </si>
  <si>
    <t>Grundschuld FlSt. 123</t>
  </si>
  <si>
    <t>Darlehen</t>
  </si>
  <si>
    <t>Volksbank Muster</t>
  </si>
  <si>
    <t>Globalzession, SÜ Vorräte</t>
  </si>
  <si>
    <t>Betriebsversicherung</t>
  </si>
  <si>
    <t>Stand</t>
  </si>
  <si>
    <t>Auflösung</t>
  </si>
  <si>
    <t>Zuführung</t>
  </si>
  <si>
    <t>Summe Betriebsversicherung</t>
  </si>
  <si>
    <t>Kfz-Steuer</t>
  </si>
  <si>
    <t>Summe Kfz-Steuer</t>
  </si>
  <si>
    <t>Kfz-Versicherung</t>
  </si>
  <si>
    <t>Summe Kfz-Versicherung</t>
  </si>
  <si>
    <t>Sonstige</t>
  </si>
  <si>
    <t>Gesamtsumme</t>
  </si>
  <si>
    <t>Konto</t>
  </si>
  <si>
    <t>Zeitraum</t>
  </si>
  <si>
    <t>lt. G.u.V</t>
  </si>
  <si>
    <t>Beginn</t>
  </si>
  <si>
    <t>Ende</t>
  </si>
  <si>
    <t>Allgemeine Daten</t>
  </si>
  <si>
    <t>Volksbank Musterstadt eG</t>
  </si>
  <si>
    <t>EUR</t>
  </si>
  <si>
    <t>m</t>
  </si>
  <si>
    <t>ad</t>
  </si>
  <si>
    <t>Tag</t>
  </si>
  <si>
    <t>Monat</t>
  </si>
  <si>
    <t>Jahr</t>
  </si>
  <si>
    <t>Datum 1. Aktivierung</t>
  </si>
  <si>
    <t>Die Laufzeit darf 240 Monate bzw. 80 Quartale nicht überschreiten!</t>
  </si>
  <si>
    <t>Bilanzstichtag</t>
  </si>
  <si>
    <t>Verbrauch</t>
  </si>
  <si>
    <t>Pensionsberechtigter</t>
  </si>
  <si>
    <t>Gewerbesteuer</t>
  </si>
  <si>
    <t>Summe Gewerbesteuer</t>
  </si>
  <si>
    <t>Körperschaftsteuer</t>
  </si>
  <si>
    <t>Summe Körperschaftsteuer</t>
  </si>
  <si>
    <t>Summe Umsatzsteuer</t>
  </si>
  <si>
    <t>Sonstige Steuern</t>
  </si>
  <si>
    <t>Gesamt</t>
  </si>
  <si>
    <t>Abschlusskosten</t>
  </si>
  <si>
    <t>Summe Abschlusskosten</t>
  </si>
  <si>
    <t>Personalkosten</t>
  </si>
  <si>
    <t>Summe Personalkosten</t>
  </si>
  <si>
    <t>Gewährleistungen</t>
  </si>
  <si>
    <t>Sonstiges</t>
  </si>
  <si>
    <t>Arbeitnehmer</t>
  </si>
  <si>
    <t>Kreditor-Nr.</t>
  </si>
  <si>
    <t>Name Lieferant</t>
  </si>
  <si>
    <t>Verbindlichkeit in Fremdwährung</t>
  </si>
  <si>
    <t>Tageskurs in EUR</t>
  </si>
  <si>
    <t>Zahlungsausgang</t>
  </si>
  <si>
    <t>Steuerart</t>
  </si>
  <si>
    <t>Krankenkasse</t>
  </si>
  <si>
    <t>Umsätze</t>
  </si>
  <si>
    <t xml:space="preserve">Umsätze </t>
  </si>
  <si>
    <t>EG-Erwerbe</t>
  </si>
  <si>
    <t>Umsätze 0%</t>
  </si>
  <si>
    <t>lt. FiBu</t>
  </si>
  <si>
    <t>mit VoSt</t>
  </si>
  <si>
    <t>ohne VoSt</t>
  </si>
  <si>
    <t>kumuliert</t>
  </si>
  <si>
    <t>USt Soll</t>
  </si>
  <si>
    <t>USt lt. FiBu</t>
  </si>
  <si>
    <t xml:space="preserve">EU-Erwerbe </t>
  </si>
  <si>
    <t>EU-Erwerbe</t>
  </si>
  <si>
    <t>Steuerpflichtige Umsätze</t>
  </si>
  <si>
    <t>Vorsteuer</t>
  </si>
  <si>
    <t>Kontonummer lt. FiBu</t>
  </si>
  <si>
    <t>lt. Voranmeldung</t>
  </si>
  <si>
    <t>Zahlung</t>
  </si>
  <si>
    <t xml:space="preserve">Januar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</si>
  <si>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</si>
  <si>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</si>
  <si>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</si>
  <si>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</si>
  <si>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</si>
  <si>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</si>
  <si>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</si>
  <si>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</si>
  <si>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</si>
  <si>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</si>
  <si>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</si>
  <si>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lt. Finanzkasse</t>
  </si>
  <si>
    <t>Umsatzsteuer lfd. Geschäftsjahr:</t>
  </si>
  <si>
    <t>Umsatzsteuer Vorjahr:</t>
  </si>
  <si>
    <t>Umsatzsteuer Vorjahre:</t>
  </si>
  <si>
    <t>Umsatzsteuer lt. Bilanz</t>
  </si>
  <si>
    <t>Kosten</t>
  </si>
  <si>
    <t>Abgrenzung</t>
  </si>
  <si>
    <t>gerundet</t>
  </si>
  <si>
    <t>Bruttolohn</t>
  </si>
  <si>
    <t>Fibu-Konto</t>
  </si>
  <si>
    <t>Gesamtbrutto lt. Lohnjournal</t>
  </si>
  <si>
    <t>AG-Anteil VWL lt. Lohnjournal</t>
  </si>
  <si>
    <t>sonstige Lohnbestandteile lt. Lohnjournal</t>
  </si>
  <si>
    <t>Löhne und Gehälter lt. Fibu</t>
  </si>
  <si>
    <t>Aushilfen lt. Fibu</t>
  </si>
  <si>
    <t>VWL lt. Fibu</t>
  </si>
  <si>
    <t>Fahrtkostenzuschüsse lt. Fibu</t>
  </si>
  <si>
    <t>Direktversicherungen lt. Fibu</t>
  </si>
  <si>
    <t>Sonstige Kosten lt. Fibu</t>
  </si>
  <si>
    <t>Sozialabgaben</t>
  </si>
  <si>
    <t>AG-Anteile Krankenversicherung</t>
  </si>
  <si>
    <t>AG-Anteile Rentenversicherung</t>
  </si>
  <si>
    <t>AG-Anteile Arbeitslosenversicherung</t>
  </si>
  <si>
    <t>AG-Anteile Pflegeversicherung</t>
  </si>
  <si>
    <t>Sozialabgaben lt. Fibu</t>
  </si>
  <si>
    <t>Pauschale Lohnsteuer</t>
  </si>
  <si>
    <t>Lohnsteuer/pauschal lt. Lohnjournal</t>
  </si>
  <si>
    <t>Kirchensteuer/pauschal lt. Lohnjournal</t>
  </si>
  <si>
    <t>Solidaritätszuschlag/pauschal lt. Lohnj.</t>
  </si>
  <si>
    <t>Pauschale Lohn-/Kirchensteuer lt. Fibu</t>
  </si>
  <si>
    <t>Betrieb I</t>
  </si>
  <si>
    <t>Betrieb II</t>
  </si>
  <si>
    <t>Betrieb III</t>
  </si>
  <si>
    <t>Stichtag</t>
  </si>
  <si>
    <t>Geschäftsführer</t>
  </si>
  <si>
    <t>Arbeiter</t>
  </si>
  <si>
    <t>Angestellte</t>
  </si>
  <si>
    <t>Auszubildende</t>
  </si>
  <si>
    <t>Teilzeitkräfte</t>
  </si>
  <si>
    <t>31.03.</t>
  </si>
  <si>
    <t>30.06.</t>
  </si>
  <si>
    <t>30.09.</t>
  </si>
  <si>
    <t>31.12.</t>
  </si>
  <si>
    <t>Durchschnitt</t>
  </si>
  <si>
    <t>Sonstige finanzielle Verpflichtungen</t>
  </si>
  <si>
    <t>Leasing-/Mietgegenstand</t>
  </si>
  <si>
    <t>Leasinggeber/   Vermieter</t>
  </si>
  <si>
    <t>erste Rate</t>
  </si>
  <si>
    <t>letzte Rate</t>
  </si>
  <si>
    <t xml:space="preserve">Leasing-/  Mietdauer </t>
  </si>
  <si>
    <t xml:space="preserve">Restlaufzeit </t>
  </si>
  <si>
    <t>Leasing-/ Mietverpflichtung</t>
  </si>
  <si>
    <t>Sonstige finanzielle Verpflichtungen aus Leasing-/Mietverträgen mit bestimmter Dauer (gesamte Restlaufzeit)</t>
  </si>
  <si>
    <t>Zusammensetzung von einzelnen Konten</t>
  </si>
  <si>
    <t>Januar</t>
  </si>
  <si>
    <t xml:space="preserve">Fibu-Konto </t>
  </si>
  <si>
    <t>Betrag lt. Fibu</t>
  </si>
  <si>
    <t>Erläuterung</t>
  </si>
  <si>
    <t>Kurs Bilanz-aufstellung in EUR</t>
  </si>
  <si>
    <t>zum Inhaltsverzeichnis</t>
  </si>
  <si>
    <t>zum Inhaltserzeichnis</t>
  </si>
  <si>
    <t xml:space="preserve">PWB Vorjahr </t>
  </si>
  <si>
    <t>Max Mustermann</t>
  </si>
  <si>
    <t>Summe Sonstige</t>
  </si>
  <si>
    <t>Summe Sonstige Steuern</t>
  </si>
  <si>
    <t>Summe Sonstiges</t>
  </si>
  <si>
    <t>Rechnungs-datum</t>
  </si>
  <si>
    <t>Zahlungs-
datum</t>
  </si>
  <si>
    <t>Sollbestand 
sonst. Verbindlich.</t>
  </si>
  <si>
    <t>Sollbestand 
sonst. Verbindlichkeiten</t>
  </si>
  <si>
    <t>zum Inhaltsverezichnis</t>
  </si>
  <si>
    <t>Konto-
nummer</t>
  </si>
  <si>
    <t>USt</t>
  </si>
  <si>
    <t>Betrag 
Umsatz</t>
  </si>
  <si>
    <t>Steuersatz</t>
  </si>
  <si>
    <t>Umsatzsteuer-
vorauszahlungen</t>
  </si>
  <si>
    <t>Umsatzsteuervorauszahlungen (am Bilanzstichtag nicht bezahlt):</t>
  </si>
  <si>
    <t>Kosten 0%</t>
  </si>
  <si>
    <t>VSt Soll</t>
  </si>
  <si>
    <t>VSt lt. FiBu</t>
  </si>
  <si>
    <t>Name 
Mitarbeiter</t>
  </si>
  <si>
    <t>Schulze</t>
  </si>
  <si>
    <t>Kennziffer eintragen:  
1=GF 
2=Arbeiter 
3=Angestellter 
4=Auszubildender
5=Teilzeitkraft</t>
  </si>
  <si>
    <t>Für jeden Stichtag, an dem der Arbeitnehmer angestellt war, ist eine 1 zu erfassen:</t>
  </si>
  <si>
    <t>Forderungen</t>
  </si>
  <si>
    <t>Tabellenblatt</t>
  </si>
  <si>
    <t>Thema</t>
  </si>
  <si>
    <t xml:space="preserve">Thema </t>
  </si>
  <si>
    <t>Verbindlichkeiten aus Lohn und Gehalt</t>
  </si>
  <si>
    <t>Verbindlichkeiten aus Lohn- und Kirchensteuer</t>
  </si>
  <si>
    <t>Verbindlichkeiten aus sozialer Sicherung</t>
  </si>
  <si>
    <t>Kontenaufstellung</t>
  </si>
  <si>
    <t>Berechnung Passive RAP's</t>
  </si>
  <si>
    <t>Passive Rechnungsabgrenzungsposten</t>
  </si>
  <si>
    <t>Aktive Rechnungsabgrenzungsposten</t>
  </si>
  <si>
    <t>zm Inhaltsverzeichnis</t>
  </si>
  <si>
    <t>Verteilung Disagio/Leasing</t>
  </si>
  <si>
    <t>Berechnung Aktive RAP's</t>
  </si>
  <si>
    <t>GuV / Verträge / Kontenaufstellung</t>
  </si>
  <si>
    <t>Selbstverständlich ist es auch möglich, weitere Tabellenblätter individuell einzufügen und diese im Inhaltsverzeichnis aufzunehmen.</t>
  </si>
  <si>
    <t xml:space="preserve">Sollten über das Einfügen von ganzen Tabellenblättern hinaus weitere Änderungen vorgenommen werden, ist zunächst der Blattschutz aufzuheben (siehe Tabellenblatt "Version_Kennwort"). Die Aufhebung des Blattschutzes und die Veränderung von vorgegebenen Tabellenblätter kann jedoch dazu führen, dass voreingestellte Verknüpfungen überschrieben oder gänzlich gelöscht werden. </t>
  </si>
  <si>
    <t>Mandantendaten</t>
  </si>
  <si>
    <t>Umsatzsteuersatz</t>
  </si>
  <si>
    <t>Die Eingabefelder sind gelb unterlegt.</t>
  </si>
  <si>
    <t>Abschluss zum</t>
  </si>
  <si>
    <t>Abschluss vom</t>
  </si>
  <si>
    <t>E</t>
  </si>
  <si>
    <t>Handelsrecht: § 266 Abs. 2 B II HGB, § 253 Abs. 1 HGB</t>
  </si>
  <si>
    <t>Handelsrecht: § 266 Abs. 2 B II HGB, § 253 Abs. 1 HGB, § 256a HGB</t>
  </si>
  <si>
    <t>Test</t>
  </si>
  <si>
    <t>Handelsrecht: § 266 Abs. 2 B II HGB, § 253 Abs. 1 HGB, § 252 Abs. 1 Nr. 3 HGB, § 253 Abs. 4 Satz 2 HGB</t>
  </si>
  <si>
    <t>geschätzer Ausfall / Berichtigungssatz</t>
  </si>
  <si>
    <t>Handelsrecht: § 266 Abs. 2 B II HGB, § 253 Abs. 1 HGB, § 252 Abs. 2 HGB, § 252 Abs. 1 Nr. 4 HGB</t>
  </si>
  <si>
    <t>Betrag in EUR</t>
  </si>
  <si>
    <t>Zahlungsbetrag in EUR</t>
  </si>
  <si>
    <t>Zahlungsdatum in EUR</t>
  </si>
  <si>
    <t xml:space="preserve">Flüssige Mittel </t>
  </si>
  <si>
    <t>Handelsrecht: § 266 Abs. 3 C 2 HGB, § 253 Abs. 1 HGB</t>
  </si>
  <si>
    <t>Sons. Verb. 5</t>
  </si>
  <si>
    <t>Handelsrecht: § 266 Abs. 2 C HGB, § 250 Abs. 1 HGB</t>
  </si>
  <si>
    <t>q</t>
  </si>
  <si>
    <t>Darlehensgeber</t>
  </si>
  <si>
    <t>Disagio</t>
  </si>
  <si>
    <t>Beginn Darlehenslaufzeit</t>
  </si>
  <si>
    <t>Datum letzte Tilgung</t>
  </si>
  <si>
    <t>Periodenaufwand in EUR</t>
  </si>
  <si>
    <t>Bestand in EUR</t>
  </si>
  <si>
    <t>Zahlungsform (m=monatlich; q= quartal)</t>
  </si>
  <si>
    <t>Verteilungsart (ad=degressiv; ln=linear)</t>
  </si>
  <si>
    <t>Auswahl von "ad" bei Tilgungsdarlehen und "ln" bei Endfälligkeitsdarlehen</t>
  </si>
  <si>
    <t>ln</t>
  </si>
  <si>
    <t>Handelsrecht: § 266 Abs. 2 C HGB, § 250 Abs. 1 und 3 HGB</t>
  </si>
  <si>
    <t>Handelsrecht: § 266 Abs. 3 B 1 HGB, § 249 HGB, § 253 Abs. 2 Satz 1 HGB</t>
  </si>
  <si>
    <t>Handelsrecht: § 266 Abs. 3 B 2 HGB, § 249 HGB, § 253 Abs. 1 HGB</t>
  </si>
  <si>
    <t>Umsatzsteuer (z. B. aufgrund Außenprüfung)</t>
  </si>
  <si>
    <t>Summe Gewährleistungen</t>
  </si>
  <si>
    <t>Handelsrecht: § 266 Abs. 3 B 3 HGB, § 249 HGB, § 253 Abs. 1 HGB</t>
  </si>
  <si>
    <t>tatsächl. Arbeitstage</t>
  </si>
  <si>
    <t>Resturlaub in Tagen</t>
  </si>
  <si>
    <t>Handelsrecht: § 266 Abs. 3 C 4 HGB, § 253 Abs. 1 HGB</t>
  </si>
  <si>
    <t>Müller</t>
  </si>
  <si>
    <t>Restbetrag in EUR</t>
  </si>
  <si>
    <t>Zugangs-bewertung in EUR</t>
  </si>
  <si>
    <t>Handelsrecht: § 266 Abs. 3 C HGB, § 253 Abs. 1 HGB, § 256a HGB</t>
  </si>
  <si>
    <t>Handelsrecht: § 266 Abs. 3 C HGB, § 253 Abs. 1 Satz 2 HGB</t>
  </si>
  <si>
    <t>Dezember 2019</t>
  </si>
  <si>
    <t>I</t>
  </si>
  <si>
    <t>+ Erhaltene Netto-Anzahl. (Endbestand)</t>
  </si>
  <si>
    <t>- Erhaltene Netto-Anzahl. (Anfangsbestand)</t>
  </si>
  <si>
    <t>Sonder-VZ</t>
  </si>
  <si>
    <t>nach HGB</t>
  </si>
  <si>
    <t>Handelsrecht: § 267 Abs. 5 HGB</t>
  </si>
  <si>
    <t>PKW</t>
  </si>
  <si>
    <t>monatliche Nettorate in EUR</t>
  </si>
  <si>
    <t>Liquide Mitte (Kasse / Bank)</t>
  </si>
  <si>
    <t>Umsatzversteuerung 
(S=Sollverst./I=Istverst.)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</si>
  <si>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Allgemeine Informationen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</si>
  <si>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Inhaltsverzeichnis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</si>
  <si>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Mandantendaten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</si>
  <si>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 xml:space="preserve">- Forderungen 1 / Forderungen aus LuL - 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</si>
  <si>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Forderungen 2 / Fremdwährungsforderungen (Restlaufzeit von einem Jahr oder weniger)</t>
    </r>
    <r>
      <rPr>
        <b/>
        <sz val="14"/>
        <color indexed="8"/>
        <rFont val="Calibri"/>
        <family val="2"/>
        <scheme val="minor"/>
      </rPr>
      <t xml:space="preserve">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</si>
  <si>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Forderungen 3 / Einzelwertberichtigung (kein endgültiger Ausfall)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</si>
  <si>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Forderungen 5 / Sonstige Forderungen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</si>
  <si>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Bank 1 / Flüssige Mittel bei Kreditinstituten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</si>
  <si>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ARAP 1 / Entwicklung Aktive Rechnungsabgrenzungsposten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</si>
  <si>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ARAP 2 / Berechnung Aktive Abgrenzungsposten (Grundfälle mit linearer Auflösung)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</si>
  <si>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Rückst. 1 / Pensionsrückstellungen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</si>
  <si>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Rückst. 2 / Entwicklung Steuerrückstellungen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</si>
  <si>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Rückst. 3 / Entwicklung sonstige Rückstellungen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</si>
  <si>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Rückst. 4 / Resturlaubsverpflichtungen(Restlaufzeit unter 1 Jahr)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</si>
  <si>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Verb. 2 / Fremdwährungsverbindlichkeiten (Restlaufzeit von einem Jahr oder weniger)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</si>
  <si>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Sonst. Verb. 5 / Kontokorrentkredite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</si>
  <si>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USt 1 / Umsatzverprobung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</si>
  <si>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USt 2 / Umsatzteuerberechnung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</si>
  <si>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USt 3 / Umsatzteuerabstimmung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</si>
  <si>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USt 4 / Vorsteuerverprobung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</si>
  <si>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Lohn 1 / Lohnverprobung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</si>
  <si>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Lohn 2 / Ermittlung Arbeitnehmerzahl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</si>
  <si>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befristete Leasing- und Mietverträge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</si>
  <si>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Kontenaufstellung -</t>
    </r>
  </si>
  <si>
    <t>Handelsrecht</t>
  </si>
  <si>
    <t>Steuerrecht</t>
  </si>
  <si>
    <t>Niedrigerer TW-Ansatz bei steuerrechtlichem Wahlrecht gewünscht</t>
  </si>
  <si>
    <t>Ja</t>
  </si>
  <si>
    <t>Nein</t>
  </si>
  <si>
    <t>Differenz Folgebewertung Handels- und Steurrecht in EUR</t>
  </si>
  <si>
    <t>Steuerrecht: § 5 Abs. 1 EStG, § 6 Abs. 1 Nr. 2 EStG</t>
  </si>
  <si>
    <t>vorraussichtlich dauerhafte Wertminderung</t>
  </si>
  <si>
    <t>Differenz Handels- und Steuerrecht</t>
  </si>
  <si>
    <t>Bemessungsgrundlage PWB (netto)</t>
  </si>
  <si>
    <t>Differenz Handels- und Steuerrecht in EUR</t>
  </si>
  <si>
    <t>Summe Einzelwertberichtigte Forderungen Steuerrecht</t>
  </si>
  <si>
    <t>=</t>
  </si>
  <si>
    <t>Steuerrecht: § 5 Abs. 1 EStG, § 5 Abs. 5 Satz 1 Nr. 1 EStG</t>
  </si>
  <si>
    <t>Ansatz Disagio in Handelsbilanz gewünscht (§ 250 Abs. 3 Satz 1 HGB):</t>
  </si>
  <si>
    <t>Differenz Aufwand Handels- und Steuerrecht in EUR</t>
  </si>
  <si>
    <t>Differenz Bestand Handels- und Steuerrecht in EUR</t>
  </si>
  <si>
    <t>Steuerrecht: § 5 Abs. 1 EStG, § 6 Abs. 1 Nr. 3a EStG</t>
  </si>
  <si>
    <t>Begrenzung nach R 6.11 Abs. 3 EStR</t>
  </si>
  <si>
    <t xml:space="preserve">Zwischen- ergebnis </t>
  </si>
  <si>
    <t>Steuerrecht: § 5 Abs. 1 EStG, § 6 Abs. 1 Nr. 3a EStG, R 6.11 Abs. 3 EStR</t>
  </si>
  <si>
    <t>Steuerrecht: § 5 Abs. 1 EStG, § 6 Abs. 1 Nr. 3a EStG, § 6a EStG, R 6.11 Abs. 3 EStR</t>
  </si>
  <si>
    <t>Jahresurlaub Folgejahr in Tagen</t>
  </si>
  <si>
    <t>künftige Gehaltssteigerungen in %, sofern am Bilanzstichtag bekannt</t>
  </si>
  <si>
    <t>AG-Anteil zur SV in %</t>
  </si>
  <si>
    <t>Steuerrecht: § 5 Abs. 1 EStG, § 6 Abs. 1 Nr. 3 EStG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</si>
  <si>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Verb. 1 / Verbindlichkeiten aus LuL (Restlaufzeit maximal 1 Jahr)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</si>
  <si>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Sonst. Verb. 1 / Sonstige Verbindlichkeiten (Restlaufzeit von einem Jahr oder weniger)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</si>
  <si>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Sonst. Verb. 2 / Verbindlichkeiten aus Lohn und Gehalt (Restlaufzeit von einem Jahr oder weniger)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</si>
  <si>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Sonst. Verb. 3 / Verbindlichkeiten aus Lohn- und Kirchensteuer (Restlaufzeit von einem Jahr oder weniger)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</si>
  <si>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Sonst. Verb. 4 / Verbindlichkeiten aus sozialer Sicherung (Restlaufzeit von einem Jahr oder weniger)  -</t>
    </r>
  </si>
  <si>
    <t>Handelsrecht: § 266 Abs. 3 D HGB, § 250 Abs. 3 HGB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</si>
  <si>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PRAP 1 / Entwicklung Passive RAPs (lineare Auflösung)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</si>
  <si>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PRAP 2 / Berechnung Passive RAPs (lineare Auflösung) -</t>
    </r>
  </si>
  <si>
    <t>Steuerrecht: § 5 Abs. 1 EStG, § 5 Abs. 5 Satz 1 Nr. 2 EStG</t>
  </si>
  <si>
    <t>Anlagevermögen</t>
  </si>
  <si>
    <t>AV 1</t>
  </si>
  <si>
    <t>AV 2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</si>
  <si>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AV 1 / nicht abnutzbares Anlagevermögen -</t>
    </r>
  </si>
  <si>
    <t>nicht abnutzbares Anlagevermögen</t>
  </si>
  <si>
    <t>Handelsrecht: § 266 Abs. 1 A HGB, § 247 Abs. 2 HGB, § 253 Abs. 1 HGB</t>
  </si>
  <si>
    <t>dauerhaft niedriger Teilwert zum</t>
  </si>
  <si>
    <t>Grund und Boden Meierstraße</t>
  </si>
  <si>
    <t>Grund und Boden Müllerstraße</t>
  </si>
  <si>
    <t>-</t>
  </si>
  <si>
    <t>Teilwert-AfA</t>
  </si>
  <si>
    <t>Gebäude Müllerstraße</t>
  </si>
  <si>
    <t>Bagger</t>
  </si>
  <si>
    <t>Notebook</t>
  </si>
  <si>
    <t>Folge:</t>
  </si>
  <si>
    <t>ND in Monaten</t>
  </si>
  <si>
    <t>Gebäude Meierstraße</t>
  </si>
  <si>
    <t>RND in Monaten zum</t>
  </si>
  <si>
    <t>lineare AfA in EUR</t>
  </si>
  <si>
    <t>Teilwert-AfA in EUR</t>
  </si>
  <si>
    <t>§ 7g Abs. 2 Satz 2 EStG in EUR</t>
  </si>
  <si>
    <t>AfA-BMG in EUR</t>
  </si>
  <si>
    <t>Einstellung Sapo in EUR</t>
  </si>
  <si>
    <t>Tablet</t>
  </si>
  <si>
    <t>§ 7g Abs. 5 EStG in EUR</t>
  </si>
  <si>
    <t>AK in EUR</t>
  </si>
  <si>
    <t>ND in Jahren</t>
  </si>
  <si>
    <t>dauerhaft niedriger TW zum</t>
  </si>
  <si>
    <t>steuerliche Übersichten</t>
  </si>
  <si>
    <t>Sammelposten</t>
  </si>
  <si>
    <t>Investitionsabzugsbeträge</t>
  </si>
  <si>
    <t>Anwendung § 6 Abs. 2 EStG (GWG) gewünscht:</t>
  </si>
  <si>
    <t>§ 6 Abs. 2 EStG (GWG) in EUR</t>
  </si>
  <si>
    <t>Sapo § 6 Abs. 2a Satz 4 EStG in EUR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</si>
  <si>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Sapo / Entwicklung Sammelposten § 6 Abs. 2a EStG -</t>
    </r>
  </si>
  <si>
    <t>Handelsrecht: -</t>
  </si>
  <si>
    <t>Steuerrecht: § 6 Abs. 2a EStG</t>
  </si>
  <si>
    <t>Sammelposten aus</t>
  </si>
  <si>
    <t xml:space="preserve">RND in Jahren am </t>
  </si>
  <si>
    <t>Auflösung in EUR</t>
  </si>
  <si>
    <t xml:space="preserve">Zuführung in </t>
  </si>
  <si>
    <t>Traktor</t>
  </si>
  <si>
    <t>Datum Anschaffung</t>
  </si>
  <si>
    <t>Hinweis: maximal</t>
  </si>
  <si>
    <t>geplante AK in EUR</t>
  </si>
  <si>
    <t xml:space="preserve">Anschaffung am </t>
  </si>
  <si>
    <t>Restbetrag § 7g Abs. 1 EStG am</t>
  </si>
  <si>
    <t>Name anschafftes WG</t>
  </si>
  <si>
    <t>IAB 2</t>
  </si>
  <si>
    <t>Abzug nach § 7g Abs. 2 Satz 2 EStG</t>
  </si>
  <si>
    <t>Laptop</t>
  </si>
  <si>
    <t>Netto-AK in EUR</t>
  </si>
  <si>
    <t>IAB 3</t>
  </si>
  <si>
    <t>IAB 1</t>
  </si>
  <si>
    <t>Zwangsauflösung  § 7g Abs. 3 EStG zum 31.12.</t>
  </si>
  <si>
    <t>vor</t>
  </si>
  <si>
    <t>in</t>
  </si>
  <si>
    <t>Abzug § 7g Abs. 1 EStG in EUR</t>
  </si>
  <si>
    <t>freiwillige, rückwirkende Auflösung nach § 7g Abs. 3 EStG</t>
  </si>
  <si>
    <t>Anwendung § 7 Abs. 2 EStG (degressive AfA) gewünscht: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</si>
  <si>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AV 2 / abnutzbares, unbewegliches Anlagevermögen (Steuerecht ab 01.01.2018) -</t>
    </r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</si>
  <si>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AV 3 / abnutzbares, bewegliches Anlagevermögen (Steuerecht ab 01.01.2018) -</t>
    </r>
  </si>
  <si>
    <t>abnutzbares, unbewegl. Anlagevermögen</t>
  </si>
  <si>
    <t>abnutzbares, bewegl. Anlagevermögen</t>
  </si>
  <si>
    <t>AV 3</t>
  </si>
  <si>
    <t>Kettenraupe</t>
  </si>
  <si>
    <t>Maschine</t>
  </si>
  <si>
    <t>degressive AfA in EUR</t>
  </si>
  <si>
    <t>AfA-Satz (degressiv)</t>
  </si>
  <si>
    <t>Prüfung Höchstbetrag § 7g Abs. 1 Satz 4 EStG:</t>
  </si>
  <si>
    <t>rückgängig zu machende Beträge</t>
  </si>
  <si>
    <t>nach § 7g Abs. 3 EStG freiwillig rückgängig gemachte Beträge</t>
  </si>
  <si>
    <t xml:space="preserve">nach § 7g Abs. 3 EStG zum </t>
  </si>
  <si>
    <t>nach § 7g Abs. 4 EStG rückgängig gemachte Beträge</t>
  </si>
  <si>
    <t>Ergebnis § 7g Abs. 1 Satz 4 EStG</t>
  </si>
  <si>
    <t>./.</t>
  </si>
  <si>
    <t>nach § 7g Abs. 2 Satz 1 EStG hinzugerechnete Beträge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</si>
  <si>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ARAP 3 / Verteilung fremdübliches Disagio bzw. Damnum -</t>
    </r>
  </si>
  <si>
    <t>Gebäude  Schulzestr.</t>
  </si>
  <si>
    <t>Steuerrecht: § 5 Abs. 1 EStG, § 6 Abs. 1 Nr. 1 EStG, § 7 EStG</t>
  </si>
  <si>
    <t>Steuerrecht: § 5 Abs. 1 EStG, § 6 Abs. 1 Nr. 1 EStG, § 7 EStG, § 7g EStG, § 6 Abs. 2 EStG, § 6 Abs. 2a EStG</t>
  </si>
  <si>
    <t>Steuerrecht: § 5 Abs. 1 EStG, § 6 Abs. 1 Nr. 3a EStG, R 6.11 Abs. 3 EStR, H 6.11 "Urlaubsverpflichtung" EStH</t>
  </si>
  <si>
    <t>Sapo</t>
  </si>
  <si>
    <t>IAB</t>
  </si>
  <si>
    <t>Wert-entwicklung</t>
  </si>
  <si>
    <t>Zugangs-bewertung</t>
  </si>
  <si>
    <t>Differenz Folge-bewertung</t>
  </si>
  <si>
    <t>Folgebewertung am Bilanzstichtag</t>
  </si>
  <si>
    <t>Folgebewertung Bilanzstichtag</t>
  </si>
  <si>
    <t>Einzelwertberichtigung Handelsrecht</t>
  </si>
  <si>
    <t>Einzelwertberichtigung Steuerrecht</t>
  </si>
  <si>
    <t>Zahlungsbetrag</t>
  </si>
  <si>
    <t>Forderungen brutto</t>
  </si>
  <si>
    <t>PWB Steuerrecht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</si>
  <si>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Forderungen 4 / Pauschalwertberichtigung (PWB) -</t>
    </r>
  </si>
  <si>
    <t>AfA-BMG</t>
  </si>
  <si>
    <t>lineare AfA</t>
  </si>
  <si>
    <t>Für Wirtschaftsgüter, deren Nettoanschaffungskosten 250 €, aber nicht 1.000 € übersteigen, ist ein Sammelposten zu bilden. Übersteigen die Nettoanschaffungskosten 250 € nicht, ist ein Abzug in voller Höhe als Betriebsausgaben möglich. Neben der Poolabschreibung kann keine Abschreibung nach § 7g Abs. 5 EStG in Anspruch genommen werden.</t>
  </si>
  <si>
    <t>Anwendung § 6 Abs. 2a EStG (Sammelposten) gewünscht: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</si>
  <si>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IAB / Entwicklung Investitionsabzugsbeträge § 7g EStG (Rechtslage ab 1.1.2016) -</t>
    </r>
  </si>
  <si>
    <t>Steuerrecht: § 7g EStG</t>
  </si>
  <si>
    <t>maximal</t>
  </si>
  <si>
    <t>Abzug 
§ 7g Abs. 1 EStG</t>
  </si>
  <si>
    <t>geplante AK</t>
  </si>
  <si>
    <t>Bezeichnung angeschafftes 
Wirtschaftsgut</t>
  </si>
  <si>
    <t>Netto-AK</t>
  </si>
  <si>
    <t>Hinzurechnung 
§ 7g Abs. 2 Satz 1 EStG</t>
  </si>
  <si>
    <t>Differenz Bestand Handels- und Steuerrecht</t>
  </si>
  <si>
    <t>jährl. Bruttoarbeitsentgelt (inkl. tarifl. Weihnachts- u. Urlaubsgeld)</t>
  </si>
  <si>
    <t>jährlich vereinbarte Sondervergütungen (z. B. nicht tarif- oder einzelvertraglich vereinbartes Weihnachtsgeld)</t>
  </si>
  <si>
    <t>Bereinigtes Bruttogehalt</t>
  </si>
  <si>
    <t>Bruttogehalt inkl. Steigerungen</t>
  </si>
  <si>
    <t>Rückstellung zum</t>
  </si>
  <si>
    <t xml:space="preserve">Rückstellung zum </t>
  </si>
  <si>
    <t>Bruttobetrag</t>
  </si>
  <si>
    <t>Wertentwicklung</t>
  </si>
  <si>
    <t>lt. Auszug</t>
  </si>
  <si>
    <t>lt. Bilanz</t>
  </si>
  <si>
    <t>lt. Bank</t>
  </si>
  <si>
    <t>lt. GuV</t>
  </si>
  <si>
    <t>AK</t>
  </si>
  <si>
    <t xml:space="preserve"> maximal</t>
  </si>
  <si>
    <t>Hinzurechnung 
§ 7g Abs. 2 Satz 1 EStG in EUR</t>
  </si>
  <si>
    <t>Kontostand</t>
  </si>
  <si>
    <t>lt. Vertrag</t>
  </si>
  <si>
    <t>Meier</t>
  </si>
  <si>
    <t>Dezember 2020</t>
  </si>
  <si>
    <t>LSt</t>
  </si>
  <si>
    <t>ggf. anteiliger Zahlungsbetrag Abschlussjahr</t>
  </si>
  <si>
    <t>Stand zum</t>
  </si>
  <si>
    <t>Investitions-
abzugbeträge</t>
  </si>
  <si>
    <t>Musterfrau</t>
  </si>
  <si>
    <t>PWB Handelsrecht</t>
  </si>
  <si>
    <t>BFH, Urteil v. 16.03.2021 – X R 34/19, NWB NAAAH-88660</t>
  </si>
  <si>
    <t xml:space="preserve">JStG 2020: </t>
  </si>
  <si>
    <t>Für Wj, die nach dem 31.12.2019 enden (vgl. § 52 Abs. 16 Satz 1 EStG) wurden Beträge in § 7g Abs. 1 und 2 EStG auf 50 % der Anschaffungs- oder Herstellungskosten erhöht.</t>
  </si>
  <si>
    <r>
      <t xml:space="preserve">Bei in nach dem 31.12.2016 und vor dem 01.01.2018 endenden Wj. beanspruchten Investitionsabzugsbeträgen endet die Investitionsfrist erst zum Ende des </t>
    </r>
    <r>
      <rPr>
        <u/>
        <sz val="11"/>
        <color theme="1"/>
        <rFont val="Calibri"/>
        <family val="2"/>
        <scheme val="minor"/>
      </rPr>
      <t>fünften</t>
    </r>
    <r>
      <rPr>
        <sz val="11"/>
        <color theme="1"/>
        <rFont val="Calibri"/>
        <family val="2"/>
        <scheme val="minor"/>
      </rPr>
      <t xml:space="preserve"> auf das Wj. des Abzugs folgenden Wj. </t>
    </r>
  </si>
  <si>
    <r>
      <t xml:space="preserve">Bei in nach dem 31. Dezember 2017 und vor dem 1. Januar 2019 endenden Wj. beanspruchten Investitionsabzugsbeträgen endet die Investitionsfrist erst zum Ende des </t>
    </r>
    <r>
      <rPr>
        <u/>
        <sz val="11"/>
        <color theme="1"/>
        <rFont val="Calibri"/>
        <family val="2"/>
        <scheme val="minor"/>
      </rPr>
      <t>vierten</t>
    </r>
    <r>
      <rPr>
        <sz val="11"/>
        <color theme="1"/>
        <rFont val="Calibri"/>
        <family val="2"/>
        <scheme val="minor"/>
      </rPr>
      <t xml:space="preserve"> auf das Wj. des Abzugs folgenden Wj.</t>
    </r>
  </si>
  <si>
    <t>nach § 7g Abs. 1 EStG im Wirtschaftsjahr des Abzugs und in den vier vorangegangenen Wirtschaftsjahren geltend gemachte Beträge</t>
  </si>
  <si>
    <t>§ 7g Abs. 16 Satz 4 EStG (VZ 2021):</t>
  </si>
  <si>
    <t>§ 7g Abs. 16 Satz 3 EStG (VZ 2021):</t>
  </si>
  <si>
    <r>
      <t xml:space="preserve">2022.0 </t>
    </r>
    <r>
      <rPr>
        <sz val="11"/>
        <rFont val="Calibri"/>
        <family val="2"/>
        <scheme val="minor"/>
      </rPr>
      <t>- Stand Januar 2022</t>
    </r>
  </si>
  <si>
    <t>NWB VAAAH-68007</t>
  </si>
  <si>
    <t>4. Autor</t>
  </si>
  <si>
    <t>Diese Arbeitshilfe wird inhaltlich betreut von Marcus Hübner.</t>
  </si>
  <si>
    <t>5. Haftungsausschluss / AGB</t>
  </si>
  <si>
    <t>6. Kontakt</t>
  </si>
  <si>
    <r>
      <t xml:space="preserve">Dokumentation für den handels- und steuerrechtlichen Jahresabschluss
</t>
    </r>
    <r>
      <rPr>
        <b/>
        <sz val="12"/>
        <color rgb="FF000000"/>
        <rFont val="Calibri"/>
        <family val="2"/>
        <scheme val="minor"/>
      </rPr>
      <t>- Version und Hinweise -</t>
    </r>
  </si>
  <si>
    <t>BMF, Schreiben v. 20.3.2017 (BStBl I S. 423); NWB TAAAG-41398</t>
  </si>
  <si>
    <t>BMF, Schreiben v. 2.9.2016 (BStBl I S. 995, Tz. 8 ff.); NWB BAAAF-81512</t>
  </si>
  <si>
    <t>BMF-Schreiben vom 2.9.2016 (BStBl I S. 995, Tz. 14 ff.); NWB BAAAF-81512</t>
  </si>
  <si>
    <t>BMF, Schreiben v. 2.9.2016 (BStBl I S. 995, Tz. 14); NWB BAAAF-81512</t>
  </si>
  <si>
    <t>Cremer, Bewertung und Buchung von Fremdwährungsforderungen, BBK Nr. 10/20218, Seite 456; TAAAG-83590</t>
  </si>
  <si>
    <t>BMF-Schreiben vom 2.9.2016 (BStBl I S. 995, Tz. 14 und 31 f.); NWB BAAAF-81512</t>
  </si>
  <si>
    <t>Wertberichtigungen zu Forderungen, infoCenter; NWB SAAAB-05367</t>
  </si>
  <si>
    <t>BFH, Urteil v. 16.03.2021 – X R 34/19; NWB NAAAH-88660</t>
  </si>
  <si>
    <t>BMF-Schreiben vom 2.9.2016 (BStBl I S. 995, Tz. 30 ff.); NWB BAAAF-81512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</si>
</sst>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"/>
    <numFmt numFmtId="165" formatCode="d/m/yyyy"/>
    <numFmt numFmtId="166" formatCode="###\ ###\ ###\ ###"/>
    <numFmt numFmtId="167" formatCode="#,##0.00_ ;\-#,##0.00\ "/>
    <numFmt numFmtId="168" formatCode="#,##0.00\ &quot;DM&quot;;\-#,##0.00\ &quot;DM&quot;"/>
    <numFmt numFmtId="169" formatCode="00"/>
    <numFmt numFmtId="170" formatCode="0.0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60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2"/>
      <name val="Century Gothic"/>
      <family val="2"/>
    </font>
    <font>
      <b/>
      <sz val="11"/>
      <color indexed="9"/>
      <name val="Calibri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color theme="1"/>
      <name val="Calibri"/>
      <family val="2"/>
    </font>
    <font>
      <b/>
      <sz val="11"/>
      <color indexed="10"/>
      <name val="Calibri"/>
      <family val="2"/>
    </font>
    <font>
      <b/>
      <sz val="10"/>
      <color indexed="9"/>
      <name val="Century Gothic"/>
      <family val="2"/>
    </font>
    <font>
      <sz val="11"/>
      <color indexed="9"/>
      <name val="Calibri"/>
      <family val="2"/>
      <scheme val="minor"/>
    </font>
    <font>
      <sz val="10"/>
      <name val="MS Sans Serif"/>
    </font>
    <font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u/>
      <sz val="11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5" fillId="0" borderId="0"/>
    <xf numFmtId="0" fontId="27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1359">
    <xf numFmtId="0" fontId="0" fillId="0" borderId="0" xfId="0"/>
    <xf numFmtId="0" fontId="6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0" fontId="2" fillId="0" borderId="0" xfId="1"/>
    <xf numFmtId="0" fontId="8" fillId="0" borderId="0" xfId="1" applyFont="1" applyAlignment="1">
      <alignment horizontal="justify" vertical="top" wrapText="1"/>
    </xf>
    <xf numFmtId="0" fontId="11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0" fontId="13" fillId="0" borderId="0" xfId="1" applyFont="1"/>
    <xf numFmtId="0" fontId="15" fillId="0" borderId="0" xfId="1" applyFont="1" applyAlignment="1">
      <alignment horizontal="left"/>
    </xf>
    <xf numFmtId="0" fontId="14" fillId="0" borderId="0" xfId="1" applyFont="1"/>
    <xf numFmtId="0" fontId="13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39" fontId="17" fillId="0" borderId="0" xfId="3" applyNumberFormat="1" applyFont="1" applyAlignment="1">
      <alignment horizontal="center"/>
    </xf>
    <xf numFmtId="0" fontId="13" fillId="0" borderId="0" xfId="3" applyFont="1" applyAlignment="1">
      <alignment horizontal="left"/>
    </xf>
    <xf numFmtId="0" fontId="13" fillId="0" borderId="0" xfId="1" applyFont="1" applyAlignment="1" applyProtection="1">
      <alignment vertical="center"/>
      <protection hidden="1"/>
    </xf>
    <xf numFmtId="4" fontId="13" fillId="0" borderId="0" xfId="1" applyNumberFormat="1" applyFont="1" applyAlignment="1" applyProtection="1">
      <alignment horizontal="right" vertical="center" wrapText="1"/>
      <protection hidden="1"/>
    </xf>
    <xf numFmtId="14" fontId="13" fillId="0" borderId="0" xfId="3" applyNumberFormat="1" applyFont="1" applyAlignment="1" applyProtection="1">
      <alignment horizontal="right" vertical="center"/>
      <protection hidden="1"/>
    </xf>
    <xf numFmtId="0" fontId="14" fillId="0" borderId="0" xfId="1" applyFont="1" applyProtection="1">
      <protection hidden="1"/>
    </xf>
    <xf numFmtId="0" fontId="13" fillId="0" borderId="0" xfId="1" applyFont="1" applyProtection="1">
      <protection hidden="1"/>
    </xf>
    <xf numFmtId="14" fontId="13" fillId="0" borderId="0" xfId="1" applyNumberFormat="1" applyFont="1" applyAlignment="1" applyProtection="1">
      <alignment horizontal="right"/>
      <protection hidden="1"/>
    </xf>
    <xf numFmtId="4" fontId="13" fillId="0" borderId="0" xfId="1" applyNumberFormat="1" applyFont="1" applyAlignment="1" applyProtection="1">
      <alignment horizontal="right" wrapText="1"/>
      <protection hidden="1"/>
    </xf>
    <xf numFmtId="0" fontId="13" fillId="0" borderId="0" xfId="1" applyFont="1" applyAlignment="1" applyProtection="1">
      <alignment horizontal="right"/>
      <protection hidden="1"/>
    </xf>
    <xf numFmtId="1" fontId="14" fillId="0" borderId="1" xfId="4" applyNumberFormat="1" applyFont="1" applyBorder="1" applyAlignment="1" applyProtection="1">
      <alignment horizontal="center" vertical="center"/>
      <protection hidden="1"/>
    </xf>
    <xf numFmtId="4" fontId="14" fillId="0" borderId="1" xfId="4" applyNumberFormat="1" applyFont="1" applyBorder="1" applyAlignment="1" applyProtection="1">
      <alignment horizontal="center" vertical="center"/>
      <protection hidden="1"/>
    </xf>
    <xf numFmtId="164" fontId="14" fillId="0" borderId="1" xfId="4" applyNumberFormat="1" applyFont="1" applyBorder="1" applyAlignment="1" applyProtection="1">
      <alignment horizontal="center" vertical="center" wrapText="1"/>
      <protection hidden="1"/>
    </xf>
    <xf numFmtId="164" fontId="14" fillId="0" borderId="1" xfId="4" applyNumberFormat="1" applyFont="1" applyBorder="1" applyAlignment="1">
      <alignment horizontal="center" vertical="center" wrapText="1"/>
    </xf>
    <xf numFmtId="1" fontId="18" fillId="0" borderId="0" xfId="4" applyNumberFormat="1" applyFont="1"/>
    <xf numFmtId="4" fontId="18" fillId="0" borderId="0" xfId="4" applyNumberFormat="1" applyFont="1" applyAlignment="1">
      <alignment horizontal="center"/>
    </xf>
    <xf numFmtId="4" fontId="18" fillId="0" borderId="0" xfId="4" applyNumberFormat="1" applyFont="1" applyAlignment="1">
      <alignment horizontal="right" wrapText="1"/>
    </xf>
    <xf numFmtId="164" fontId="18" fillId="0" borderId="0" xfId="4" applyNumberFormat="1" applyFont="1" applyAlignment="1">
      <alignment horizontal="right" wrapText="1"/>
    </xf>
    <xf numFmtId="164" fontId="18" fillId="0" borderId="0" xfId="4" applyNumberFormat="1" applyFont="1" applyAlignment="1" applyProtection="1">
      <alignment horizontal="right" wrapText="1"/>
      <protection hidden="1"/>
    </xf>
    <xf numFmtId="1" fontId="13" fillId="5" borderId="9" xfId="4" applyNumberFormat="1" applyFont="1" applyFill="1" applyBorder="1" applyAlignment="1" applyProtection="1">
      <alignment horizontal="center"/>
      <protection locked="0"/>
    </xf>
    <xf numFmtId="14" fontId="13" fillId="5" borderId="9" xfId="3" applyNumberFormat="1" applyFont="1" applyFill="1" applyBorder="1" applyAlignment="1" applyProtection="1">
      <alignment horizontal="right"/>
      <protection locked="0"/>
    </xf>
    <xf numFmtId="4" fontId="13" fillId="5" borderId="9" xfId="4" applyNumberFormat="1" applyFont="1" applyFill="1" applyBorder="1" applyAlignment="1" applyProtection="1">
      <alignment horizontal="right"/>
      <protection locked="0"/>
    </xf>
    <xf numFmtId="4" fontId="13" fillId="5" borderId="10" xfId="4" applyNumberFormat="1" applyFont="1" applyFill="1" applyBorder="1" applyAlignment="1" applyProtection="1">
      <alignment horizontal="right"/>
      <protection locked="0"/>
    </xf>
    <xf numFmtId="4" fontId="13" fillId="0" borderId="0" xfId="4" applyNumberFormat="1" applyFont="1" applyAlignment="1" applyProtection="1">
      <alignment horizontal="right"/>
      <protection hidden="1"/>
    </xf>
    <xf numFmtId="1" fontId="13" fillId="5" borderId="11" xfId="4" applyNumberFormat="1" applyFont="1" applyFill="1" applyBorder="1" applyProtection="1">
      <protection locked="0"/>
    </xf>
    <xf numFmtId="1" fontId="13" fillId="5" borderId="12" xfId="4" applyNumberFormat="1" applyFont="1" applyFill="1" applyBorder="1" applyAlignment="1" applyProtection="1">
      <alignment horizontal="center"/>
      <protection locked="0"/>
    </xf>
    <xf numFmtId="14" fontId="13" fillId="5" borderId="12" xfId="3" applyNumberFormat="1" applyFont="1" applyFill="1" applyBorder="1" applyAlignment="1" applyProtection="1">
      <alignment horizontal="right"/>
      <protection locked="0"/>
    </xf>
    <xf numFmtId="4" fontId="13" fillId="5" borderId="12" xfId="4" applyNumberFormat="1" applyFont="1" applyFill="1" applyBorder="1" applyAlignment="1" applyProtection="1">
      <alignment horizontal="right"/>
      <protection locked="0"/>
    </xf>
    <xf numFmtId="4" fontId="13" fillId="5" borderId="13" xfId="4" applyNumberFormat="1" applyFont="1" applyFill="1" applyBorder="1" applyAlignment="1" applyProtection="1">
      <alignment horizontal="right"/>
      <protection locked="0"/>
    </xf>
    <xf numFmtId="1" fontId="13" fillId="5" borderId="14" xfId="4" applyNumberFormat="1" applyFont="1" applyFill="1" applyBorder="1" applyProtection="1">
      <protection locked="0"/>
    </xf>
    <xf numFmtId="1" fontId="13" fillId="5" borderId="15" xfId="4" applyNumberFormat="1" applyFont="1" applyFill="1" applyBorder="1" applyAlignment="1" applyProtection="1">
      <alignment horizontal="center"/>
      <protection locked="0"/>
    </xf>
    <xf numFmtId="14" fontId="13" fillId="5" borderId="15" xfId="3" applyNumberFormat="1" applyFont="1" applyFill="1" applyBorder="1" applyAlignment="1" applyProtection="1">
      <alignment horizontal="right"/>
      <protection locked="0"/>
    </xf>
    <xf numFmtId="4" fontId="13" fillId="5" borderId="15" xfId="4" applyNumberFormat="1" applyFont="1" applyFill="1" applyBorder="1" applyAlignment="1" applyProtection="1">
      <alignment horizontal="right"/>
      <protection locked="0"/>
    </xf>
    <xf numFmtId="4" fontId="13" fillId="5" borderId="16" xfId="4" applyNumberFormat="1" applyFont="1" applyFill="1" applyBorder="1" applyAlignment="1" applyProtection="1">
      <alignment horizontal="right"/>
      <protection locked="0"/>
    </xf>
    <xf numFmtId="4" fontId="13" fillId="0" borderId="0" xfId="4" applyNumberFormat="1" applyFont="1" applyProtection="1">
      <protection locked="0"/>
    </xf>
    <xf numFmtId="4" fontId="13" fillId="0" borderId="0" xfId="4" applyNumberFormat="1" applyFont="1" applyAlignment="1" applyProtection="1">
      <alignment horizontal="right"/>
      <protection locked="0"/>
    </xf>
    <xf numFmtId="164" fontId="13" fillId="0" borderId="0" xfId="4" applyNumberFormat="1" applyFont="1" applyAlignment="1" applyProtection="1">
      <alignment horizontal="right"/>
      <protection locked="0"/>
    </xf>
    <xf numFmtId="164" fontId="13" fillId="0" borderId="0" xfId="4" applyNumberFormat="1" applyFont="1" applyAlignment="1" applyProtection="1">
      <alignment horizontal="right"/>
      <protection locked="0" hidden="1"/>
    </xf>
    <xf numFmtId="4" fontId="14" fillId="6" borderId="0" xfId="4" applyNumberFormat="1" applyFont="1" applyFill="1"/>
    <xf numFmtId="0" fontId="14" fillId="6" borderId="0" xfId="4" applyFont="1" applyFill="1"/>
    <xf numFmtId="4" fontId="14" fillId="6" borderId="0" xfId="4" applyNumberFormat="1" applyFont="1" applyFill="1" applyAlignment="1">
      <alignment horizontal="right"/>
    </xf>
    <xf numFmtId="164" fontId="14" fillId="6" borderId="0" xfId="4" applyNumberFormat="1" applyFont="1" applyFill="1" applyAlignment="1">
      <alignment horizontal="right"/>
    </xf>
    <xf numFmtId="4" fontId="14" fillId="6" borderId="0" xfId="4" applyNumberFormat="1" applyFont="1" applyFill="1" applyAlignment="1" applyProtection="1">
      <alignment horizontal="right"/>
      <protection hidden="1"/>
    </xf>
    <xf numFmtId="0" fontId="20" fillId="0" borderId="0" xfId="1" applyFont="1" applyProtection="1">
      <protection hidden="1"/>
    </xf>
    <xf numFmtId="0" fontId="19" fillId="0" borderId="0" xfId="1" applyFont="1" applyProtection="1">
      <protection hidden="1"/>
    </xf>
    <xf numFmtId="14" fontId="19" fillId="0" borderId="0" xfId="1" applyNumberFormat="1" applyFont="1" applyAlignment="1" applyProtection="1">
      <alignment horizontal="right"/>
      <protection hidden="1"/>
    </xf>
    <xf numFmtId="4" fontId="19" fillId="0" borderId="0" xfId="1" applyNumberFormat="1" applyFont="1" applyAlignment="1" applyProtection="1">
      <alignment horizontal="right" wrapText="1"/>
      <protection hidden="1"/>
    </xf>
    <xf numFmtId="0" fontId="19" fillId="0" borderId="0" xfId="1" applyFont="1" applyAlignment="1" applyProtection="1">
      <alignment horizontal="right"/>
      <protection hidden="1"/>
    </xf>
    <xf numFmtId="14" fontId="13" fillId="0" borderId="0" xfId="3" applyNumberFormat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/>
      <protection hidden="1"/>
    </xf>
    <xf numFmtId="39" fontId="13" fillId="0" borderId="0" xfId="3" applyNumberFormat="1" applyFont="1" applyAlignment="1" applyProtection="1">
      <alignment horizontal="center"/>
      <protection hidden="1"/>
    </xf>
    <xf numFmtId="39" fontId="13" fillId="0" borderId="0" xfId="3" applyNumberFormat="1" applyFont="1" applyAlignment="1" applyProtection="1">
      <alignment horizontal="right"/>
      <protection hidden="1"/>
    </xf>
    <xf numFmtId="9" fontId="19" fillId="0" borderId="0" xfId="5" applyFont="1" applyAlignment="1" applyProtection="1">
      <alignment horizontal="right"/>
      <protection hidden="1"/>
    </xf>
    <xf numFmtId="0" fontId="14" fillId="0" borderId="1" xfId="3" applyFont="1" applyBorder="1" applyAlignment="1" applyProtection="1">
      <alignment horizontal="center"/>
      <protection hidden="1"/>
    </xf>
    <xf numFmtId="39" fontId="14" fillId="0" borderId="1" xfId="3" applyNumberFormat="1" applyFont="1" applyBorder="1" applyAlignment="1" applyProtection="1">
      <alignment horizontal="center"/>
      <protection hidden="1"/>
    </xf>
    <xf numFmtId="0" fontId="13" fillId="5" borderId="8" xfId="3" applyFont="1" applyFill="1" applyBorder="1" applyAlignment="1" applyProtection="1">
      <alignment horizontal="left"/>
      <protection locked="0"/>
    </xf>
    <xf numFmtId="0" fontId="13" fillId="5" borderId="9" xfId="3" applyFont="1" applyFill="1" applyBorder="1" applyAlignment="1" applyProtection="1">
      <alignment horizontal="center"/>
      <protection locked="0"/>
    </xf>
    <xf numFmtId="4" fontId="13" fillId="0" borderId="0" xfId="3" applyNumberFormat="1" applyFont="1" applyProtection="1">
      <protection hidden="1"/>
    </xf>
    <xf numFmtId="0" fontId="13" fillId="5" borderId="11" xfId="3" applyFont="1" applyFill="1" applyBorder="1" applyAlignment="1" applyProtection="1">
      <alignment horizontal="left"/>
      <protection locked="0"/>
    </xf>
    <xf numFmtId="0" fontId="13" fillId="5" borderId="12" xfId="3" applyFont="1" applyFill="1" applyBorder="1" applyAlignment="1" applyProtection="1">
      <alignment horizontal="center"/>
      <protection locked="0"/>
    </xf>
    <xf numFmtId="4" fontId="13" fillId="5" borderId="12" xfId="3" applyNumberFormat="1" applyFont="1" applyFill="1" applyBorder="1" applyProtection="1">
      <protection locked="0"/>
    </xf>
    <xf numFmtId="0" fontId="13" fillId="5" borderId="12" xfId="1" applyFont="1" applyFill="1" applyBorder="1" applyAlignment="1" applyProtection="1">
      <alignment horizontal="center"/>
      <protection locked="0"/>
    </xf>
    <xf numFmtId="0" fontId="13" fillId="5" borderId="14" xfId="3" applyFont="1" applyFill="1" applyBorder="1" applyAlignment="1" applyProtection="1">
      <alignment horizontal="left"/>
      <protection locked="0"/>
    </xf>
    <xf numFmtId="0" fontId="13" fillId="5" borderId="15" xfId="1" applyFont="1" applyFill="1" applyBorder="1" applyAlignment="1" applyProtection="1">
      <alignment horizontal="center"/>
      <protection locked="0"/>
    </xf>
    <xf numFmtId="0" fontId="13" fillId="0" borderId="0" xfId="1" applyFont="1" applyAlignment="1">
      <alignment horizontal="center"/>
    </xf>
    <xf numFmtId="4" fontId="13" fillId="0" borderId="0" xfId="1" applyNumberFormat="1" applyFont="1"/>
    <xf numFmtId="9" fontId="13" fillId="0" borderId="0" xfId="1" applyNumberFormat="1" applyFont="1"/>
    <xf numFmtId="0" fontId="14" fillId="6" borderId="0" xfId="1" applyFont="1" applyFill="1" applyProtection="1">
      <protection hidden="1"/>
    </xf>
    <xf numFmtId="4" fontId="14" fillId="6" borderId="0" xfId="1" applyNumberFormat="1" applyFont="1" applyFill="1" applyAlignment="1" applyProtection="1">
      <alignment horizontal="center"/>
      <protection hidden="1"/>
    </xf>
    <xf numFmtId="4" fontId="14" fillId="6" borderId="0" xfId="1" applyNumberFormat="1" applyFont="1" applyFill="1" applyAlignment="1" applyProtection="1">
      <alignment horizontal="right"/>
      <protection hidden="1"/>
    </xf>
    <xf numFmtId="9" fontId="14" fillId="6" borderId="0" xfId="5" applyFont="1" applyFill="1" applyAlignment="1" applyProtection="1">
      <alignment horizontal="right"/>
      <protection hidden="1"/>
    </xf>
    <xf numFmtId="4" fontId="13" fillId="0" borderId="0" xfId="1" applyNumberFormat="1" applyFont="1" applyAlignment="1" applyProtection="1">
      <alignment horizontal="center"/>
      <protection hidden="1"/>
    </xf>
    <xf numFmtId="4" fontId="13" fillId="0" borderId="0" xfId="1" applyNumberFormat="1" applyFont="1" applyAlignment="1" applyProtection="1">
      <alignment horizontal="right"/>
      <protection hidden="1"/>
    </xf>
    <xf numFmtId="9" fontId="13" fillId="0" borderId="0" xfId="5" applyFont="1" applyAlignment="1" applyProtection="1">
      <alignment horizontal="right"/>
      <protection hidden="1"/>
    </xf>
    <xf numFmtId="0" fontId="19" fillId="0" borderId="0" xfId="1" applyFont="1"/>
    <xf numFmtId="4" fontId="19" fillId="0" borderId="0" xfId="1" applyNumberFormat="1" applyFont="1" applyAlignment="1">
      <alignment horizontal="right"/>
    </xf>
    <xf numFmtId="9" fontId="19" fillId="0" borderId="0" xfId="5" applyFont="1" applyAlignment="1">
      <alignment horizontal="right"/>
    </xf>
    <xf numFmtId="0" fontId="0" fillId="0" borderId="0" xfId="0"/>
    <xf numFmtId="4" fontId="19" fillId="0" borderId="0" xfId="1" applyNumberFormat="1" applyFont="1" applyProtection="1">
      <protection hidden="1"/>
    </xf>
    <xf numFmtId="0" fontId="14" fillId="0" borderId="0" xfId="3" applyFont="1" applyProtection="1">
      <protection hidden="1"/>
    </xf>
    <xf numFmtId="0" fontId="14" fillId="0" borderId="0" xfId="3" applyFont="1" applyAlignment="1" applyProtection="1">
      <alignment horizontal="right"/>
      <protection hidden="1"/>
    </xf>
    <xf numFmtId="39" fontId="14" fillId="0" borderId="0" xfId="3" applyNumberFormat="1" applyFont="1" applyProtection="1">
      <protection hidden="1"/>
    </xf>
    <xf numFmtId="39" fontId="14" fillId="0" borderId="0" xfId="3" applyNumberFormat="1" applyFont="1" applyAlignment="1" applyProtection="1">
      <alignment horizontal="right"/>
      <protection hidden="1"/>
    </xf>
    <xf numFmtId="4" fontId="14" fillId="0" borderId="0" xfId="3" applyNumberFormat="1" applyFont="1" applyAlignment="1" applyProtection="1">
      <alignment horizontal="right"/>
      <protection hidden="1"/>
    </xf>
    <xf numFmtId="39" fontId="14" fillId="0" borderId="0" xfId="3" applyNumberFormat="1" applyFont="1" applyAlignment="1" applyProtection="1">
      <alignment horizontal="center"/>
      <protection hidden="1"/>
    </xf>
    <xf numFmtId="0" fontId="13" fillId="0" borderId="0" xfId="3" applyFont="1" applyAlignment="1" applyProtection="1">
      <alignment horizontal="center"/>
      <protection hidden="1"/>
    </xf>
    <xf numFmtId="4" fontId="13" fillId="0" borderId="0" xfId="3" applyNumberFormat="1" applyFont="1" applyAlignment="1" applyProtection="1">
      <alignment horizontal="right"/>
      <protection hidden="1"/>
    </xf>
    <xf numFmtId="0" fontId="13" fillId="5" borderId="8" xfId="3" applyFont="1" applyFill="1" applyBorder="1" applyAlignment="1" applyProtection="1">
      <alignment horizontal="center" vertical="center"/>
      <protection locked="0"/>
    </xf>
    <xf numFmtId="14" fontId="13" fillId="5" borderId="9" xfId="3" applyNumberFormat="1" applyFont="1" applyFill="1" applyBorder="1" applyAlignment="1" applyProtection="1">
      <alignment horizontal="center" vertical="center"/>
      <protection locked="0"/>
    </xf>
    <xf numFmtId="0" fontId="13" fillId="5" borderId="9" xfId="3" applyFont="1" applyFill="1" applyBorder="1" applyAlignment="1" applyProtection="1">
      <alignment horizontal="center" vertical="center"/>
      <protection locked="0"/>
    </xf>
    <xf numFmtId="4" fontId="13" fillId="5" borderId="9" xfId="3" applyNumberFormat="1" applyFont="1" applyFill="1" applyBorder="1" applyAlignment="1" applyProtection="1">
      <alignment horizontal="center" vertical="center"/>
      <protection locked="0"/>
    </xf>
    <xf numFmtId="1" fontId="13" fillId="5" borderId="9" xfId="3" applyNumberFormat="1" applyFont="1" applyFill="1" applyBorder="1" applyAlignment="1" applyProtection="1">
      <alignment horizontal="center" vertical="center"/>
      <protection locked="0"/>
    </xf>
    <xf numFmtId="4" fontId="13" fillId="5" borderId="10" xfId="3" applyNumberFormat="1" applyFont="1" applyFill="1" applyBorder="1" applyAlignment="1" applyProtection="1">
      <alignment horizontal="center" vertical="center"/>
      <protection locked="0"/>
    </xf>
    <xf numFmtId="0" fontId="13" fillId="5" borderId="11" xfId="3" applyFont="1" applyFill="1" applyBorder="1" applyAlignment="1" applyProtection="1">
      <alignment horizontal="center" vertical="center"/>
      <protection locked="0"/>
    </xf>
    <xf numFmtId="14" fontId="13" fillId="5" borderId="12" xfId="3" applyNumberFormat="1" applyFont="1" applyFill="1" applyBorder="1" applyAlignment="1" applyProtection="1">
      <alignment horizontal="center" vertical="center"/>
      <protection locked="0"/>
    </xf>
    <xf numFmtId="0" fontId="13" fillId="5" borderId="12" xfId="3" applyFont="1" applyFill="1" applyBorder="1" applyAlignment="1" applyProtection="1">
      <alignment horizontal="center" vertical="center"/>
      <protection locked="0"/>
    </xf>
    <xf numFmtId="4" fontId="13" fillId="5" borderId="12" xfId="3" applyNumberFormat="1" applyFont="1" applyFill="1" applyBorder="1" applyAlignment="1" applyProtection="1">
      <alignment horizontal="center" vertical="center"/>
      <protection locked="0"/>
    </xf>
    <xf numFmtId="1" fontId="13" fillId="5" borderId="12" xfId="3" applyNumberFormat="1" applyFont="1" applyFill="1" applyBorder="1" applyAlignment="1" applyProtection="1">
      <alignment horizontal="center" vertical="center"/>
      <protection locked="0"/>
    </xf>
    <xf numFmtId="4" fontId="13" fillId="5" borderId="13" xfId="3" applyNumberFormat="1" applyFont="1" applyFill="1" applyBorder="1" applyAlignment="1" applyProtection="1">
      <alignment horizontal="center" vertical="center"/>
      <protection locked="0"/>
    </xf>
    <xf numFmtId="0" fontId="13" fillId="5" borderId="14" xfId="3" applyFont="1" applyFill="1" applyBorder="1" applyAlignment="1" applyProtection="1">
      <alignment horizontal="center" vertical="center"/>
      <protection locked="0"/>
    </xf>
    <xf numFmtId="14" fontId="13" fillId="5" borderId="15" xfId="3" applyNumberFormat="1" applyFont="1" applyFill="1" applyBorder="1" applyAlignment="1" applyProtection="1">
      <alignment horizontal="center" vertical="center"/>
      <protection locked="0"/>
    </xf>
    <xf numFmtId="0" fontId="13" fillId="5" borderId="15" xfId="3" applyFont="1" applyFill="1" applyBorder="1" applyAlignment="1" applyProtection="1">
      <alignment horizontal="center" vertical="center"/>
      <protection locked="0"/>
    </xf>
    <xf numFmtId="4" fontId="13" fillId="5" borderId="15" xfId="3" applyNumberFormat="1" applyFont="1" applyFill="1" applyBorder="1" applyAlignment="1" applyProtection="1">
      <alignment horizontal="center" vertical="center"/>
      <protection locked="0"/>
    </xf>
    <xf numFmtId="1" fontId="13" fillId="5" borderId="15" xfId="3" applyNumberFormat="1" applyFont="1" applyFill="1" applyBorder="1" applyAlignment="1" applyProtection="1">
      <alignment horizontal="center" vertical="center"/>
      <protection locked="0"/>
    </xf>
    <xf numFmtId="4" fontId="13" fillId="5" borderId="16" xfId="3" applyNumberFormat="1" applyFont="1" applyFill="1" applyBorder="1" applyAlignment="1" applyProtection="1">
      <alignment horizontal="center" vertical="center"/>
      <protection locked="0"/>
    </xf>
    <xf numFmtId="0" fontId="14" fillId="6" borderId="0" xfId="1" applyFont="1" applyFill="1" applyAlignment="1" applyProtection="1">
      <alignment horizontal="center"/>
      <protection hidden="1"/>
    </xf>
    <xf numFmtId="0" fontId="13" fillId="0" borderId="0" xfId="1" applyFont="1" applyAlignment="1">
      <alignment horizontal="right"/>
    </xf>
    <xf numFmtId="4" fontId="13" fillId="0" borderId="0" xfId="1" applyNumberFormat="1" applyFont="1" applyAlignment="1">
      <alignment horizontal="right"/>
    </xf>
    <xf numFmtId="4" fontId="13" fillId="0" borderId="0" xfId="1" applyNumberFormat="1" applyFont="1" applyProtection="1">
      <protection hidden="1"/>
    </xf>
    <xf numFmtId="0" fontId="13" fillId="5" borderId="8" xfId="3" applyFont="1" applyFill="1" applyBorder="1" applyAlignment="1" applyProtection="1">
      <alignment horizontal="center"/>
      <protection locked="0"/>
    </xf>
    <xf numFmtId="14" fontId="13" fillId="5" borderId="9" xfId="3" applyNumberFormat="1" applyFont="1" applyFill="1" applyBorder="1" applyAlignment="1" applyProtection="1">
      <alignment horizontal="center"/>
      <protection locked="0"/>
    </xf>
    <xf numFmtId="0" fontId="13" fillId="5" borderId="11" xfId="3" applyFont="1" applyFill="1" applyBorder="1" applyAlignment="1" applyProtection="1">
      <alignment horizontal="center"/>
      <protection locked="0"/>
    </xf>
    <xf numFmtId="14" fontId="13" fillId="5" borderId="12" xfId="3" applyNumberFormat="1" applyFont="1" applyFill="1" applyBorder="1" applyAlignment="1" applyProtection="1">
      <alignment horizontal="center"/>
      <protection locked="0"/>
    </xf>
    <xf numFmtId="0" fontId="13" fillId="5" borderId="14" xfId="3" applyFont="1" applyFill="1" applyBorder="1" applyAlignment="1" applyProtection="1">
      <alignment horizontal="center"/>
      <protection locked="0"/>
    </xf>
    <xf numFmtId="14" fontId="13" fillId="5" borderId="15" xfId="3" applyNumberFormat="1" applyFont="1" applyFill="1" applyBorder="1" applyAlignment="1" applyProtection="1">
      <alignment horizontal="center"/>
      <protection locked="0"/>
    </xf>
    <xf numFmtId="0" fontId="13" fillId="5" borderId="15" xfId="3" applyFont="1" applyFill="1" applyBorder="1" applyAlignment="1" applyProtection="1">
      <alignment horizontal="center"/>
      <protection locked="0"/>
    </xf>
    <xf numFmtId="165" fontId="14" fillId="6" borderId="0" xfId="3" applyNumberFormat="1" applyFont="1" applyFill="1" applyAlignment="1" applyProtection="1">
      <alignment horizontal="right"/>
      <protection hidden="1"/>
    </xf>
    <xf numFmtId="4" fontId="18" fillId="7" borderId="17" xfId="1" applyNumberFormat="1" applyFont="1" applyFill="1" applyBorder="1" applyAlignment="1" applyProtection="1">
      <alignment horizontal="right"/>
      <protection hidden="1"/>
    </xf>
    <xf numFmtId="0" fontId="13" fillId="0" borderId="18" xfId="3" applyFont="1" applyBorder="1" applyProtection="1">
      <protection hidden="1"/>
    </xf>
    <xf numFmtId="0" fontId="13" fillId="0" borderId="19" xfId="3" applyFont="1" applyBorder="1" applyAlignment="1" applyProtection="1">
      <alignment horizontal="center"/>
      <protection hidden="1"/>
    </xf>
    <xf numFmtId="39" fontId="13" fillId="0" borderId="19" xfId="3" applyNumberFormat="1" applyFont="1" applyBorder="1" applyAlignment="1" applyProtection="1">
      <alignment horizontal="right"/>
      <protection hidden="1"/>
    </xf>
    <xf numFmtId="0" fontId="13" fillId="0" borderId="20" xfId="1" applyFont="1" applyBorder="1" applyProtection="1">
      <protection hidden="1"/>
    </xf>
    <xf numFmtId="4" fontId="13" fillId="5" borderId="9" xfId="3" applyNumberFormat="1" applyFont="1" applyFill="1" applyBorder="1" applyAlignment="1" applyProtection="1">
      <alignment horizontal="right"/>
      <protection locked="0"/>
    </xf>
    <xf numFmtId="4" fontId="13" fillId="5" borderId="10" xfId="3" applyNumberFormat="1" applyFont="1" applyFill="1" applyBorder="1" applyAlignment="1" applyProtection="1">
      <alignment horizontal="right"/>
      <protection locked="0"/>
    </xf>
    <xf numFmtId="4" fontId="13" fillId="5" borderId="8" xfId="3" applyNumberFormat="1" applyFont="1" applyFill="1" applyBorder="1" applyAlignment="1" applyProtection="1">
      <alignment horizontal="right"/>
      <protection locked="0"/>
    </xf>
    <xf numFmtId="0" fontId="13" fillId="5" borderId="1" xfId="1" applyFont="1" applyFill="1" applyBorder="1" applyProtection="1">
      <protection locked="0"/>
    </xf>
    <xf numFmtId="4" fontId="13" fillId="5" borderId="12" xfId="3" applyNumberFormat="1" applyFont="1" applyFill="1" applyBorder="1" applyAlignment="1" applyProtection="1">
      <alignment horizontal="right"/>
      <protection locked="0"/>
    </xf>
    <xf numFmtId="4" fontId="13" fillId="5" borderId="13" xfId="3" applyNumberFormat="1" applyFont="1" applyFill="1" applyBorder="1" applyAlignment="1" applyProtection="1">
      <alignment horizontal="right"/>
      <protection locked="0"/>
    </xf>
    <xf numFmtId="4" fontId="13" fillId="5" borderId="11" xfId="3" applyNumberFormat="1" applyFont="1" applyFill="1" applyBorder="1" applyAlignment="1" applyProtection="1">
      <alignment horizontal="right"/>
      <protection locked="0"/>
    </xf>
    <xf numFmtId="4" fontId="13" fillId="5" borderId="15" xfId="3" applyNumberFormat="1" applyFont="1" applyFill="1" applyBorder="1" applyAlignment="1" applyProtection="1">
      <alignment horizontal="right"/>
      <protection locked="0"/>
    </xf>
    <xf numFmtId="4" fontId="13" fillId="5" borderId="16" xfId="3" applyNumberFormat="1" applyFont="1" applyFill="1" applyBorder="1" applyAlignment="1" applyProtection="1">
      <alignment horizontal="right"/>
      <protection locked="0"/>
    </xf>
    <xf numFmtId="4" fontId="13" fillId="5" borderId="14" xfId="3" applyNumberFormat="1" applyFont="1" applyFill="1" applyBorder="1" applyAlignment="1" applyProtection="1">
      <alignment horizontal="right"/>
      <protection locked="0"/>
    </xf>
    <xf numFmtId="9" fontId="13" fillId="0" borderId="0" xfId="1" applyNumberFormat="1" applyFont="1" applyProtection="1">
      <protection hidden="1"/>
    </xf>
    <xf numFmtId="4" fontId="13" fillId="0" borderId="0" xfId="3" applyNumberFormat="1" applyFont="1"/>
    <xf numFmtId="0" fontId="13" fillId="5" borderId="9" xfId="3" applyFont="1" applyFill="1" applyBorder="1" applyAlignment="1" applyProtection="1">
      <alignment horizontal="right"/>
      <protection locked="0"/>
    </xf>
    <xf numFmtId="4" fontId="13" fillId="5" borderId="5" xfId="3" applyNumberFormat="1" applyFont="1" applyFill="1" applyBorder="1" applyAlignment="1" applyProtection="1">
      <alignment horizontal="right"/>
      <protection locked="0"/>
    </xf>
    <xf numFmtId="0" fontId="13" fillId="5" borderId="5" xfId="1" applyFont="1" applyFill="1" applyBorder="1" applyAlignment="1" applyProtection="1">
      <alignment horizontal="center"/>
      <protection locked="0"/>
    </xf>
    <xf numFmtId="0" fontId="13" fillId="5" borderId="12" xfId="3" applyFont="1" applyFill="1" applyBorder="1" applyAlignment="1" applyProtection="1">
      <alignment horizontal="right"/>
      <protection locked="0"/>
    </xf>
    <xf numFmtId="4" fontId="13" fillId="5" borderId="6" xfId="3" applyNumberFormat="1" applyFont="1" applyFill="1" applyBorder="1" applyAlignment="1" applyProtection="1">
      <alignment horizontal="right"/>
      <protection locked="0"/>
    </xf>
    <xf numFmtId="0" fontId="13" fillId="5" borderId="6" xfId="1" applyFont="1" applyFill="1" applyBorder="1" applyAlignment="1" applyProtection="1">
      <alignment horizontal="center"/>
      <protection locked="0"/>
    </xf>
    <xf numFmtId="0" fontId="13" fillId="5" borderId="15" xfId="3" applyFont="1" applyFill="1" applyBorder="1" applyAlignment="1" applyProtection="1">
      <alignment horizontal="right"/>
      <protection locked="0"/>
    </xf>
    <xf numFmtId="4" fontId="13" fillId="5" borderId="7" xfId="3" applyNumberFormat="1" applyFont="1" applyFill="1" applyBorder="1" applyAlignment="1" applyProtection="1">
      <alignment horizontal="right"/>
      <protection locked="0"/>
    </xf>
    <xf numFmtId="0" fontId="13" fillId="5" borderId="7" xfId="1" applyFont="1" applyFill="1" applyBorder="1" applyAlignment="1" applyProtection="1">
      <alignment horizontal="center"/>
      <protection locked="0"/>
    </xf>
    <xf numFmtId="10" fontId="13" fillId="0" borderId="0" xfId="3" applyNumberFormat="1" applyFont="1" applyAlignment="1" applyProtection="1">
      <alignment horizontal="left" vertical="center"/>
      <protection hidden="1"/>
    </xf>
    <xf numFmtId="14" fontId="14" fillId="0" borderId="0" xfId="3" applyNumberFormat="1" applyFont="1" applyAlignment="1" applyProtection="1">
      <alignment horizontal="right"/>
      <protection hidden="1"/>
    </xf>
    <xf numFmtId="0" fontId="13" fillId="0" borderId="1" xfId="3" applyFont="1" applyBorder="1" applyAlignment="1" applyProtection="1">
      <alignment horizontal="left"/>
      <protection locked="0"/>
    </xf>
    <xf numFmtId="4" fontId="14" fillId="6" borderId="0" xfId="1" applyNumberFormat="1" applyFont="1" applyFill="1" applyProtection="1">
      <protection hidden="1"/>
    </xf>
    <xf numFmtId="0" fontId="14" fillId="0" borderId="0" xfId="3" applyFont="1" applyAlignment="1" applyProtection="1">
      <alignment horizontal="center"/>
      <protection hidden="1"/>
    </xf>
    <xf numFmtId="0" fontId="19" fillId="0" borderId="0" xfId="1" applyFont="1" applyAlignment="1" applyProtection="1">
      <alignment horizontal="center"/>
      <protection hidden="1"/>
    </xf>
    <xf numFmtId="39" fontId="19" fillId="0" borderId="0" xfId="1" applyNumberFormat="1" applyFont="1" applyProtection="1">
      <protection hidden="1"/>
    </xf>
    <xf numFmtId="0" fontId="14" fillId="0" borderId="0" xfId="1" applyFont="1" applyAlignment="1" applyProtection="1">
      <alignment horizontal="center"/>
      <protection hidden="1"/>
    </xf>
    <xf numFmtId="39" fontId="14" fillId="0" borderId="0" xfId="1" applyNumberFormat="1" applyFont="1" applyProtection="1">
      <protection hidden="1"/>
    </xf>
    <xf numFmtId="0" fontId="18" fillId="0" borderId="0" xfId="1" applyFont="1"/>
    <xf numFmtId="0" fontId="18" fillId="0" borderId="0" xfId="1" applyFont="1" applyAlignment="1">
      <alignment horizontal="center"/>
    </xf>
    <xf numFmtId="39" fontId="18" fillId="0" borderId="0" xfId="1" applyNumberFormat="1" applyFont="1"/>
    <xf numFmtId="167" fontId="13" fillId="5" borderId="1" xfId="1" applyNumberFormat="1" applyFont="1" applyFill="1" applyBorder="1" applyProtection="1">
      <protection locked="0"/>
    </xf>
    <xf numFmtId="168" fontId="13" fillId="0" borderId="0" xfId="1" applyNumberFormat="1" applyFont="1"/>
    <xf numFmtId="168" fontId="13" fillId="5" borderId="1" xfId="1" applyNumberFormat="1" applyFont="1" applyFill="1" applyBorder="1" applyAlignment="1" applyProtection="1">
      <alignment horizontal="center"/>
      <protection locked="0"/>
    </xf>
    <xf numFmtId="168" fontId="13" fillId="0" borderId="0" xfId="1" applyNumberFormat="1" applyFont="1" applyAlignment="1">
      <alignment horizontal="left"/>
    </xf>
    <xf numFmtId="0" fontId="13" fillId="0" borderId="0" xfId="1" applyFont="1" applyAlignment="1">
      <alignment horizontal="right" wrapText="1"/>
    </xf>
    <xf numFmtId="0" fontId="22" fillId="0" borderId="0" xfId="1" applyFont="1"/>
    <xf numFmtId="14" fontId="13" fillId="0" borderId="0" xfId="1" applyNumberFormat="1" applyFont="1" applyAlignment="1" applyProtection="1">
      <alignment horizontal="left"/>
      <protection hidden="1"/>
    </xf>
    <xf numFmtId="169" fontId="13" fillId="0" borderId="0" xfId="1" applyNumberFormat="1" applyFont="1" applyAlignment="1" applyProtection="1">
      <alignment horizontal="center"/>
      <protection hidden="1"/>
    </xf>
    <xf numFmtId="14" fontId="14" fillId="0" borderId="0" xfId="3" applyNumberFormat="1" applyFont="1" applyAlignment="1" applyProtection="1">
      <alignment horizontal="left"/>
      <protection hidden="1"/>
    </xf>
    <xf numFmtId="4" fontId="13" fillId="5" borderId="9" xfId="3" applyNumberFormat="1" applyFont="1" applyFill="1" applyBorder="1" applyProtection="1">
      <protection locked="0"/>
    </xf>
    <xf numFmtId="4" fontId="13" fillId="5" borderId="10" xfId="3" applyNumberFormat="1" applyFont="1" applyFill="1" applyBorder="1" applyProtection="1">
      <protection locked="0"/>
    </xf>
    <xf numFmtId="4" fontId="13" fillId="5" borderId="12" xfId="3" applyNumberFormat="1" applyFont="1" applyFill="1" applyBorder="1" applyProtection="1">
      <protection locked="0"/>
    </xf>
    <xf numFmtId="4" fontId="13" fillId="5" borderId="13" xfId="3" applyNumberFormat="1" applyFont="1" applyFill="1" applyBorder="1" applyProtection="1">
      <protection locked="0"/>
    </xf>
    <xf numFmtId="4" fontId="13" fillId="5" borderId="15" xfId="3" applyNumberFormat="1" applyFont="1" applyFill="1" applyBorder="1" applyProtection="1">
      <protection locked="0"/>
    </xf>
    <xf numFmtId="4" fontId="13" fillId="5" borderId="16" xfId="3" applyNumberFormat="1" applyFont="1" applyFill="1" applyBorder="1" applyProtection="1">
      <protection locked="0"/>
    </xf>
    <xf numFmtId="10" fontId="13" fillId="0" borderId="0" xfId="1" applyNumberFormat="1" applyFont="1" applyProtection="1">
      <protection hidden="1"/>
    </xf>
    <xf numFmtId="0" fontId="19" fillId="0" borderId="0" xfId="1" applyFont="1" applyAlignment="1">
      <alignment horizontal="right"/>
    </xf>
    <xf numFmtId="0" fontId="13" fillId="0" borderId="0" xfId="1" applyFont="1" applyAlignment="1" applyProtection="1">
      <alignment horizontal="center" vertical="center"/>
      <protection hidden="1"/>
    </xf>
    <xf numFmtId="0" fontId="23" fillId="0" borderId="0" xfId="1" applyFont="1"/>
    <xf numFmtId="0" fontId="23" fillId="0" borderId="0" xfId="1" applyFont="1" applyAlignment="1">
      <alignment horizontal="center"/>
    </xf>
    <xf numFmtId="39" fontId="23" fillId="0" borderId="0" xfId="3" applyNumberFormat="1" applyFont="1" applyAlignment="1">
      <alignment horizontal="right"/>
    </xf>
    <xf numFmtId="39" fontId="23" fillId="0" borderId="0" xfId="1" applyNumberFormat="1" applyFont="1" applyAlignment="1" applyProtection="1">
      <alignment horizontal="center"/>
      <protection hidden="1"/>
    </xf>
    <xf numFmtId="39" fontId="23" fillId="0" borderId="0" xfId="1" applyNumberFormat="1" applyFont="1" applyAlignment="1">
      <alignment horizontal="center"/>
    </xf>
    <xf numFmtId="0" fontId="13" fillId="5" borderId="8" xfId="1" applyFont="1" applyFill="1" applyBorder="1" applyProtection="1">
      <protection locked="0"/>
    </xf>
    <xf numFmtId="0" fontId="13" fillId="5" borderId="9" xfId="1" applyFont="1" applyFill="1" applyBorder="1" applyAlignment="1" applyProtection="1">
      <alignment horizontal="center"/>
      <protection locked="0"/>
    </xf>
    <xf numFmtId="39" fontId="13" fillId="0" borderId="0" xfId="1" applyNumberFormat="1" applyFont="1" applyProtection="1">
      <protection hidden="1"/>
    </xf>
    <xf numFmtId="0" fontId="13" fillId="5" borderId="11" xfId="1" applyFont="1" applyFill="1" applyBorder="1" applyProtection="1">
      <protection locked="0"/>
    </xf>
    <xf numFmtId="0" fontId="13" fillId="5" borderId="14" xfId="1" applyFont="1" applyFill="1" applyBorder="1" applyProtection="1">
      <protection locked="0"/>
    </xf>
    <xf numFmtId="0" fontId="13" fillId="0" borderId="0" xfId="1" applyFont="1" applyProtection="1">
      <protection locked="0"/>
    </xf>
    <xf numFmtId="0" fontId="13" fillId="0" borderId="0" xfId="1" applyFont="1" applyAlignment="1" applyProtection="1">
      <alignment horizontal="center"/>
      <protection locked="0"/>
    </xf>
    <xf numFmtId="39" fontId="13" fillId="0" borderId="0" xfId="1" applyNumberFormat="1" applyFont="1" applyProtection="1">
      <protection locked="0"/>
    </xf>
    <xf numFmtId="1" fontId="13" fillId="0" borderId="0" xfId="1" applyNumberFormat="1" applyFont="1" applyAlignment="1" applyProtection="1">
      <alignment horizontal="center"/>
      <protection locked="0"/>
    </xf>
    <xf numFmtId="0" fontId="14" fillId="6" borderId="0" xfId="1" applyFont="1" applyFill="1"/>
    <xf numFmtId="0" fontId="14" fillId="6" borderId="0" xfId="1" applyFont="1" applyFill="1" applyAlignment="1">
      <alignment horizontal="center"/>
    </xf>
    <xf numFmtId="39" fontId="14" fillId="6" borderId="0" xfId="1" applyNumberFormat="1" applyFont="1" applyFill="1"/>
    <xf numFmtId="39" fontId="14" fillId="6" borderId="0" xfId="1" applyNumberFormat="1" applyFont="1" applyFill="1" applyProtection="1">
      <protection hidden="1"/>
    </xf>
    <xf numFmtId="1" fontId="19" fillId="0" borderId="0" xfId="4" applyNumberFormat="1" applyFont="1"/>
    <xf numFmtId="4" fontId="19" fillId="0" borderId="0" xfId="4" applyNumberFormat="1" applyFont="1"/>
    <xf numFmtId="4" fontId="19" fillId="0" borderId="0" xfId="4" applyNumberFormat="1" applyFont="1" applyAlignment="1">
      <alignment horizontal="right"/>
    </xf>
    <xf numFmtId="164" fontId="19" fillId="0" borderId="0" xfId="4" applyNumberFormat="1" applyFont="1" applyAlignment="1">
      <alignment horizontal="right"/>
    </xf>
    <xf numFmtId="164" fontId="19" fillId="0" borderId="0" xfId="4" applyNumberFormat="1" applyFont="1" applyAlignment="1" applyProtection="1">
      <alignment horizontal="right"/>
      <protection hidden="1"/>
    </xf>
    <xf numFmtId="4" fontId="19" fillId="0" borderId="0" xfId="4" applyNumberFormat="1" applyFont="1" applyAlignment="1" applyProtection="1">
      <alignment horizontal="right"/>
      <protection hidden="1"/>
    </xf>
    <xf numFmtId="14" fontId="13" fillId="0" borderId="0" xfId="3" applyNumberFormat="1" applyFont="1" applyAlignment="1" applyProtection="1">
      <alignment horizontal="right" vertical="center"/>
      <protection hidden="1"/>
    </xf>
    <xf numFmtId="0" fontId="0" fillId="0" borderId="0" xfId="0"/>
    <xf numFmtId="39" fontId="14" fillId="0" borderId="0" xfId="3" applyNumberFormat="1" applyFont="1" applyAlignment="1" applyProtection="1">
      <alignment horizontal="center"/>
      <protection hidden="1"/>
    </xf>
    <xf numFmtId="39" fontId="14" fillId="0" borderId="0" xfId="3" applyNumberFormat="1" applyFont="1" applyAlignment="1">
      <alignment horizontal="center"/>
    </xf>
    <xf numFmtId="0" fontId="14" fillId="0" borderId="1" xfId="3" applyFont="1" applyBorder="1" applyAlignment="1" applyProtection="1">
      <alignment horizontal="center"/>
      <protection hidden="1"/>
    </xf>
    <xf numFmtId="0" fontId="13" fillId="0" borderId="0" xfId="1" applyFont="1" applyAlignment="1">
      <alignment horizontal="left"/>
    </xf>
    <xf numFmtId="4" fontId="13" fillId="5" borderId="9" xfId="3" applyNumberFormat="1" applyFont="1" applyFill="1" applyBorder="1" applyProtection="1">
      <protection locked="0"/>
    </xf>
    <xf numFmtId="4" fontId="13" fillId="5" borderId="12" xfId="3" applyNumberFormat="1" applyFont="1" applyFill="1" applyBorder="1" applyProtection="1">
      <protection locked="0"/>
    </xf>
    <xf numFmtId="4" fontId="13" fillId="5" borderId="15" xfId="3" applyNumberFormat="1" applyFont="1" applyFill="1" applyBorder="1" applyProtection="1">
      <protection locked="0"/>
    </xf>
    <xf numFmtId="0" fontId="13" fillId="0" borderId="0" xfId="1" applyFont="1" applyProtection="1">
      <protection hidden="1"/>
    </xf>
    <xf numFmtId="14" fontId="13" fillId="0" borderId="0" xfId="3" applyNumberFormat="1" applyFont="1" applyAlignment="1" applyProtection="1">
      <alignment horizontal="right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4" fontId="13" fillId="0" borderId="0" xfId="0" applyNumberFormat="1" applyFont="1" applyAlignment="1" applyProtection="1">
      <alignment horizontal="right"/>
      <protection hidden="1"/>
    </xf>
    <xf numFmtId="0" fontId="13" fillId="0" borderId="0" xfId="0" applyFont="1"/>
    <xf numFmtId="4" fontId="13" fillId="0" borderId="0" xfId="0" applyNumberFormat="1" applyFont="1"/>
    <xf numFmtId="9" fontId="13" fillId="0" borderId="0" xfId="0" applyNumberFormat="1" applyFont="1"/>
    <xf numFmtId="0" fontId="14" fillId="6" borderId="0" xfId="0" applyFont="1" applyFill="1" applyProtection="1">
      <protection hidden="1"/>
    </xf>
    <xf numFmtId="4" fontId="14" fillId="6" borderId="0" xfId="0" applyNumberFormat="1" applyFont="1" applyFill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4" fontId="13" fillId="0" borderId="0" xfId="0" applyNumberFormat="1" applyFont="1" applyAlignment="1">
      <alignment horizontal="right"/>
    </xf>
    <xf numFmtId="0" fontId="14" fillId="0" borderId="0" xfId="0" applyFont="1"/>
    <xf numFmtId="0" fontId="20" fillId="0" borderId="0" xfId="0" applyFont="1" applyProtection="1">
      <protection hidden="1"/>
    </xf>
    <xf numFmtId="0" fontId="0" fillId="0" borderId="0" xfId="0" applyFont="1"/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3" applyFont="1" applyProtection="1">
      <protection hidden="1"/>
    </xf>
    <xf numFmtId="39" fontId="8" fillId="0" borderId="0" xfId="3" applyNumberFormat="1" applyFont="1" applyAlignment="1" applyProtection="1">
      <alignment horizontal="right"/>
      <protection hidden="1"/>
    </xf>
    <xf numFmtId="4" fontId="8" fillId="0" borderId="0" xfId="0" applyNumberFormat="1" applyFont="1" applyAlignment="1" applyProtection="1">
      <alignment horizontal="right"/>
      <protection hidden="1"/>
    </xf>
    <xf numFmtId="4" fontId="8" fillId="0" borderId="0" xfId="3" applyNumberFormat="1" applyFont="1" applyProtection="1">
      <protection hidden="1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8" fillId="0" borderId="0" xfId="0" applyFont="1"/>
    <xf numFmtId="4" fontId="8" fillId="0" borderId="0" xfId="0" applyNumberFormat="1" applyFont="1"/>
    <xf numFmtId="9" fontId="8" fillId="0" borderId="0" xfId="0" applyNumberFormat="1" applyFont="1"/>
    <xf numFmtId="0" fontId="7" fillId="6" borderId="0" xfId="0" applyFont="1" applyFill="1" applyProtection="1">
      <protection hidden="1"/>
    </xf>
    <xf numFmtId="0" fontId="7" fillId="6" borderId="0" xfId="0" applyFont="1" applyFill="1" applyAlignment="1" applyProtection="1">
      <alignment horizontal="right"/>
      <protection hidden="1"/>
    </xf>
    <xf numFmtId="4" fontId="7" fillId="6" borderId="0" xfId="0" applyNumberFormat="1" applyFont="1" applyFill="1" applyAlignment="1" applyProtection="1">
      <alignment horizontal="right"/>
      <protection hidden="1"/>
    </xf>
    <xf numFmtId="9" fontId="8" fillId="0" borderId="0" xfId="5" applyFont="1" applyAlignment="1" applyProtection="1">
      <alignment horizontal="right"/>
      <protection hidden="1"/>
    </xf>
    <xf numFmtId="0" fontId="7" fillId="6" borderId="0" xfId="0" applyFont="1" applyFill="1"/>
    <xf numFmtId="0" fontId="7" fillId="6" borderId="0" xfId="0" applyFont="1" applyFill="1" applyAlignment="1">
      <alignment horizontal="right"/>
    </xf>
    <xf numFmtId="4" fontId="7" fillId="6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9" fontId="8" fillId="0" borderId="0" xfId="5" applyFont="1" applyAlignment="1">
      <alignment horizontal="right"/>
    </xf>
    <xf numFmtId="165" fontId="7" fillId="6" borderId="0" xfId="3" applyNumberFormat="1" applyFont="1" applyFill="1" applyAlignment="1" applyProtection="1">
      <alignment horizontal="right"/>
      <protection hidden="1"/>
    </xf>
    <xf numFmtId="0" fontId="7" fillId="0" borderId="0" xfId="0" applyFont="1"/>
    <xf numFmtId="165" fontId="7" fillId="6" borderId="0" xfId="3" applyNumberFormat="1" applyFont="1" applyFill="1" applyAlignment="1">
      <alignment horizontal="right"/>
    </xf>
    <xf numFmtId="14" fontId="8" fillId="0" borderId="0" xfId="3" applyNumberFormat="1" applyFont="1" applyProtection="1">
      <protection hidden="1"/>
    </xf>
    <xf numFmtId="0" fontId="7" fillId="0" borderId="0" xfId="3" applyFont="1" applyFill="1" applyProtection="1">
      <protection hidden="1"/>
    </xf>
    <xf numFmtId="0" fontId="7" fillId="0" borderId="0" xfId="3" applyFont="1" applyFill="1" applyAlignment="1" applyProtection="1">
      <alignment horizontal="right"/>
      <protection hidden="1"/>
    </xf>
    <xf numFmtId="39" fontId="7" fillId="0" borderId="0" xfId="3" applyNumberFormat="1" applyFont="1" applyFill="1" applyProtection="1">
      <protection hidden="1"/>
    </xf>
    <xf numFmtId="39" fontId="7" fillId="0" borderId="0" xfId="3" applyNumberFormat="1" applyFont="1" applyFill="1" applyAlignment="1" applyProtection="1">
      <alignment horizontal="right"/>
      <protection hidden="1"/>
    </xf>
    <xf numFmtId="0" fontId="8" fillId="5" borderId="8" xfId="3" applyFont="1" applyFill="1" applyBorder="1" applyAlignment="1" applyProtection="1">
      <alignment horizontal="left"/>
      <protection locked="0"/>
    </xf>
    <xf numFmtId="14" fontId="8" fillId="5" borderId="9" xfId="3" applyNumberFormat="1" applyFont="1" applyFill="1" applyBorder="1" applyAlignment="1" applyProtection="1">
      <alignment horizontal="right"/>
      <protection locked="0"/>
    </xf>
    <xf numFmtId="0" fontId="8" fillId="5" borderId="9" xfId="3" applyFont="1" applyFill="1" applyBorder="1" applyProtection="1">
      <protection locked="0"/>
    </xf>
    <xf numFmtId="4" fontId="8" fillId="5" borderId="9" xfId="3" applyNumberFormat="1" applyFont="1" applyFill="1" applyBorder="1" applyProtection="1">
      <protection locked="0"/>
    </xf>
    <xf numFmtId="0" fontId="8" fillId="5" borderId="11" xfId="3" applyFont="1" applyFill="1" applyBorder="1" applyAlignment="1" applyProtection="1">
      <alignment horizontal="left"/>
      <protection locked="0"/>
    </xf>
    <xf numFmtId="14" fontId="8" fillId="5" borderId="12" xfId="3" applyNumberFormat="1" applyFont="1" applyFill="1" applyBorder="1" applyAlignment="1" applyProtection="1">
      <alignment horizontal="right"/>
      <protection locked="0"/>
    </xf>
    <xf numFmtId="0" fontId="8" fillId="5" borderId="12" xfId="3" applyFont="1" applyFill="1" applyBorder="1" applyProtection="1">
      <protection locked="0"/>
    </xf>
    <xf numFmtId="4" fontId="8" fillId="5" borderId="12" xfId="3" applyNumberFormat="1" applyFont="1" applyFill="1" applyBorder="1" applyProtection="1">
      <protection locked="0"/>
    </xf>
    <xf numFmtId="0" fontId="8" fillId="5" borderId="14" xfId="3" applyFont="1" applyFill="1" applyBorder="1" applyAlignment="1" applyProtection="1">
      <alignment horizontal="left"/>
      <protection locked="0"/>
    </xf>
    <xf numFmtId="14" fontId="8" fillId="5" borderId="15" xfId="3" applyNumberFormat="1" applyFont="1" applyFill="1" applyBorder="1" applyAlignment="1" applyProtection="1">
      <alignment horizontal="right"/>
      <protection locked="0"/>
    </xf>
    <xf numFmtId="0" fontId="8" fillId="5" borderId="15" xfId="3" applyFont="1" applyFill="1" applyBorder="1" applyProtection="1">
      <protection locked="0"/>
    </xf>
    <xf numFmtId="4" fontId="8" fillId="5" borderId="15" xfId="3" applyNumberFormat="1" applyFont="1" applyFill="1" applyBorder="1" applyProtection="1">
      <protection locked="0"/>
    </xf>
    <xf numFmtId="0" fontId="8" fillId="0" borderId="22" xfId="3" applyFont="1" applyBorder="1" applyAlignment="1" applyProtection="1">
      <alignment horizontal="center"/>
      <protection hidden="1"/>
    </xf>
    <xf numFmtId="39" fontId="8" fillId="0" borderId="22" xfId="3" applyNumberFormat="1" applyFont="1" applyBorder="1" applyAlignment="1" applyProtection="1">
      <alignment horizontal="center"/>
      <protection hidden="1"/>
    </xf>
    <xf numFmtId="4" fontId="8" fillId="0" borderId="22" xfId="0" applyNumberFormat="1" applyFont="1" applyBorder="1" applyAlignment="1" applyProtection="1">
      <alignment horizontal="center"/>
      <protection hidden="1"/>
    </xf>
    <xf numFmtId="39" fontId="8" fillId="0" borderId="4" xfId="3" applyNumberFormat="1" applyFont="1" applyBorder="1" applyAlignment="1" applyProtection="1">
      <alignment horizontal="center"/>
      <protection hidden="1"/>
    </xf>
    <xf numFmtId="0" fontId="8" fillId="0" borderId="1" xfId="3" applyFont="1" applyBorder="1" applyAlignment="1" applyProtection="1">
      <alignment horizontal="center"/>
      <protection hidden="1"/>
    </xf>
    <xf numFmtId="39" fontId="8" fillId="0" borderId="1" xfId="3" applyNumberFormat="1" applyFont="1" applyBorder="1" applyAlignment="1" applyProtection="1">
      <alignment horizontal="center"/>
      <protection hidden="1"/>
    </xf>
    <xf numFmtId="4" fontId="8" fillId="0" borderId="1" xfId="0" applyNumberFormat="1" applyFont="1" applyBorder="1" applyAlignment="1" applyProtection="1">
      <alignment horizontal="center"/>
      <protection hidden="1"/>
    </xf>
    <xf numFmtId="1" fontId="8" fillId="0" borderId="19" xfId="3" applyNumberFormat="1" applyFont="1" applyBorder="1" applyProtection="1">
      <protection locked="0"/>
    </xf>
    <xf numFmtId="4" fontId="8" fillId="5" borderId="10" xfId="3" applyNumberFormat="1" applyFont="1" applyFill="1" applyBorder="1" applyProtection="1">
      <protection locked="0"/>
    </xf>
    <xf numFmtId="4" fontId="8" fillId="5" borderId="13" xfId="3" applyNumberFormat="1" applyFont="1" applyFill="1" applyBorder="1" applyProtection="1">
      <protection locked="0"/>
    </xf>
    <xf numFmtId="4" fontId="8" fillId="5" borderId="16" xfId="3" applyNumberFormat="1" applyFont="1" applyFill="1" applyBorder="1" applyProtection="1">
      <protection locked="0"/>
    </xf>
    <xf numFmtId="0" fontId="0" fillId="0" borderId="0" xfId="0" applyAlignment="1"/>
    <xf numFmtId="0" fontId="0" fillId="0" borderId="0" xfId="0" applyFont="1"/>
    <xf numFmtId="0" fontId="8" fillId="0" borderId="0" xfId="3" applyFont="1" applyAlignment="1" applyProtection="1">
      <alignment horizontal="left"/>
      <protection hidden="1"/>
    </xf>
    <xf numFmtId="39" fontId="8" fillId="0" borderId="0" xfId="3" applyNumberFormat="1" applyFont="1" applyProtection="1">
      <protection hidden="1"/>
    </xf>
    <xf numFmtId="39" fontId="8" fillId="0" borderId="0" xfId="3" applyNumberFormat="1" applyFont="1"/>
    <xf numFmtId="39" fontId="7" fillId="6" borderId="0" xfId="3" applyNumberFormat="1" applyFont="1" applyFill="1" applyProtection="1">
      <protection hidden="1"/>
    </xf>
    <xf numFmtId="39" fontId="7" fillId="0" borderId="0" xfId="3" applyNumberFormat="1" applyFont="1" applyProtection="1">
      <protection hidden="1"/>
    </xf>
    <xf numFmtId="0" fontId="7" fillId="0" borderId="0" xfId="3" applyFont="1" applyAlignment="1">
      <alignment horizontal="left"/>
    </xf>
    <xf numFmtId="39" fontId="7" fillId="0" borderId="0" xfId="3" applyNumberFormat="1" applyFont="1"/>
    <xf numFmtId="0" fontId="24" fillId="0" borderId="0" xfId="3" applyFont="1" applyAlignment="1">
      <alignment horizontal="left" vertical="center" wrapText="1"/>
    </xf>
    <xf numFmtId="9" fontId="24" fillId="0" borderId="0" xfId="3" applyNumberFormat="1" applyFont="1" applyAlignment="1">
      <alignment horizontal="center" vertical="center" wrapText="1"/>
    </xf>
    <xf numFmtId="39" fontId="24" fillId="0" borderId="0" xfId="3" applyNumberFormat="1" applyFont="1" applyAlignment="1">
      <alignment horizontal="center" vertical="center" wrapText="1"/>
    </xf>
    <xf numFmtId="39" fontId="24" fillId="0" borderId="0" xfId="3" applyNumberFormat="1" applyFont="1" applyAlignment="1" applyProtection="1">
      <alignment horizontal="center" vertical="center" wrapText="1"/>
      <protection hidden="1"/>
    </xf>
    <xf numFmtId="0" fontId="8" fillId="6" borderId="0" xfId="3" applyFont="1" applyFill="1" applyAlignment="1" applyProtection="1">
      <alignment horizontal="left"/>
      <protection hidden="1"/>
    </xf>
    <xf numFmtId="39" fontId="8" fillId="6" borderId="0" xfId="3" applyNumberFormat="1" applyFont="1" applyFill="1" applyProtection="1">
      <protection hidden="1"/>
    </xf>
    <xf numFmtId="39" fontId="8" fillId="0" borderId="1" xfId="3" applyNumberFormat="1" applyFont="1" applyFill="1" applyBorder="1" applyAlignment="1" applyProtection="1">
      <alignment horizontal="center" vertical="center" wrapText="1"/>
      <protection hidden="1"/>
    </xf>
    <xf numFmtId="9" fontId="8" fillId="0" borderId="1" xfId="3" applyNumberFormat="1" applyFont="1" applyFill="1" applyBorder="1" applyAlignment="1" applyProtection="1">
      <alignment horizontal="center" vertical="center" wrapText="1"/>
      <protection hidden="1"/>
    </xf>
    <xf numFmtId="39" fontId="8" fillId="5" borderId="9" xfId="3" applyNumberFormat="1" applyFont="1" applyFill="1" applyBorder="1" applyProtection="1">
      <protection locked="0"/>
    </xf>
    <xf numFmtId="39" fontId="8" fillId="5" borderId="12" xfId="3" applyNumberFormat="1" applyFont="1" applyFill="1" applyBorder="1" applyProtection="1">
      <protection locked="0"/>
    </xf>
    <xf numFmtId="39" fontId="8" fillId="5" borderId="15" xfId="3" applyNumberFormat="1" applyFont="1" applyFill="1" applyBorder="1" applyProtection="1">
      <protection locked="0"/>
    </xf>
    <xf numFmtId="39" fontId="8" fillId="5" borderId="8" xfId="3" applyNumberFormat="1" applyFont="1" applyFill="1" applyBorder="1" applyProtection="1">
      <protection locked="0"/>
    </xf>
    <xf numFmtId="39" fontId="8" fillId="5" borderId="14" xfId="3" applyNumberFormat="1" applyFont="1" applyFill="1" applyBorder="1" applyProtection="1">
      <protection locked="0"/>
    </xf>
    <xf numFmtId="39" fontId="8" fillId="5" borderId="18" xfId="3" applyNumberFormat="1" applyFont="1" applyFill="1" applyBorder="1" applyProtection="1">
      <protection locked="0"/>
    </xf>
    <xf numFmtId="39" fontId="8" fillId="5" borderId="19" xfId="3" applyNumberFormat="1" applyFont="1" applyFill="1" applyBorder="1" applyProtection="1">
      <protection locked="0"/>
    </xf>
    <xf numFmtId="39" fontId="8" fillId="5" borderId="20" xfId="3" applyNumberFormat="1" applyFont="1" applyFill="1" applyBorder="1" applyProtection="1">
      <protection locked="0"/>
    </xf>
    <xf numFmtId="39" fontId="8" fillId="5" borderId="11" xfId="3" applyNumberFormat="1" applyFont="1" applyFill="1" applyBorder="1" applyProtection="1">
      <protection locked="0"/>
    </xf>
    <xf numFmtId="0" fontId="8" fillId="0" borderId="0" xfId="3" applyFont="1"/>
    <xf numFmtId="0" fontId="7" fillId="0" borderId="0" xfId="3" applyFont="1"/>
    <xf numFmtId="39" fontId="8" fillId="0" borderId="0" xfId="3" applyNumberFormat="1" applyFont="1" applyAlignment="1">
      <alignment horizontal="right"/>
    </xf>
    <xf numFmtId="4" fontId="7" fillId="0" borderId="0" xfId="0" applyNumberFormat="1" applyFont="1" applyProtection="1">
      <protection hidden="1"/>
    </xf>
    <xf numFmtId="39" fontId="8" fillId="0" borderId="0" xfId="6" applyNumberFormat="1" applyFont="1"/>
    <xf numFmtId="39" fontId="24" fillId="0" borderId="0" xfId="3" applyNumberFormat="1" applyFont="1" applyProtection="1">
      <protection hidden="1"/>
    </xf>
    <xf numFmtId="0" fontId="7" fillId="6" borderId="0" xfId="3" applyFont="1" applyFill="1" applyAlignment="1">
      <alignment horizontal="left"/>
    </xf>
    <xf numFmtId="39" fontId="7" fillId="6" borderId="0" xfId="3" applyNumberFormat="1" applyFont="1" applyFill="1"/>
    <xf numFmtId="14" fontId="8" fillId="0" borderId="0" xfId="3" applyNumberFormat="1" applyFont="1" applyAlignment="1" applyProtection="1">
      <alignment horizontal="right"/>
      <protection hidden="1"/>
    </xf>
    <xf numFmtId="4" fontId="8" fillId="5" borderId="16" xfId="0" applyNumberFormat="1" applyFont="1" applyFill="1" applyBorder="1" applyProtection="1">
      <protection locked="0"/>
    </xf>
    <xf numFmtId="39" fontId="8" fillId="5" borderId="1" xfId="3" applyNumberFormat="1" applyFont="1" applyFill="1" applyBorder="1" applyProtection="1">
      <protection locked="0"/>
    </xf>
    <xf numFmtId="14" fontId="8" fillId="5" borderId="10" xfId="3" applyNumberFormat="1" applyFont="1" applyFill="1" applyBorder="1" applyProtection="1">
      <protection locked="0"/>
    </xf>
    <xf numFmtId="14" fontId="8" fillId="5" borderId="13" xfId="3" applyNumberFormat="1" applyFont="1" applyFill="1" applyBorder="1" applyProtection="1">
      <protection locked="0"/>
    </xf>
    <xf numFmtId="14" fontId="8" fillId="5" borderId="16" xfId="3" applyNumberFormat="1" applyFont="1" applyFill="1" applyBorder="1" applyProtection="1">
      <protection locked="0"/>
    </xf>
    <xf numFmtId="9" fontId="8" fillId="0" borderId="0" xfId="3" applyNumberFormat="1" applyFont="1" applyAlignment="1">
      <alignment horizontal="right"/>
    </xf>
    <xf numFmtId="0" fontId="8" fillId="5" borderId="1" xfId="3" applyFont="1" applyFill="1" applyBorder="1" applyProtection="1">
      <protection locked="0"/>
    </xf>
    <xf numFmtId="4" fontId="14" fillId="6" borderId="0" xfId="0" applyNumberFormat="1" applyFont="1" applyFill="1" applyProtection="1">
      <protection hidden="1"/>
    </xf>
    <xf numFmtId="4" fontId="14" fillId="6" borderId="0" xfId="0" applyNumberFormat="1" applyFont="1" applyFill="1"/>
    <xf numFmtId="39" fontId="14" fillId="0" borderId="1" xfId="3" applyNumberFormat="1" applyFont="1" applyFill="1" applyBorder="1" applyAlignment="1" applyProtection="1">
      <alignment horizontal="right"/>
      <protection hidden="1"/>
    </xf>
    <xf numFmtId="39" fontId="14" fillId="0" borderId="1" xfId="3" applyNumberFormat="1" applyFont="1" applyFill="1" applyBorder="1" applyAlignment="1" applyProtection="1">
      <alignment horizontal="center"/>
      <protection hidden="1"/>
    </xf>
    <xf numFmtId="14" fontId="14" fillId="0" borderId="1" xfId="3" applyNumberFormat="1" applyFont="1" applyFill="1" applyBorder="1" applyAlignment="1" applyProtection="1">
      <alignment horizontal="right"/>
      <protection hidden="1"/>
    </xf>
    <xf numFmtId="39" fontId="14" fillId="0" borderId="22" xfId="3" applyNumberFormat="1" applyFont="1" applyFill="1" applyBorder="1" applyAlignment="1" applyProtection="1">
      <alignment horizontal="right"/>
      <protection hidden="1"/>
    </xf>
    <xf numFmtId="14" fontId="14" fillId="0" borderId="4" xfId="3" applyNumberFormat="1" applyFont="1" applyFill="1" applyBorder="1" applyAlignment="1" applyProtection="1">
      <alignment horizontal="left"/>
      <protection hidden="1"/>
    </xf>
    <xf numFmtId="4" fontId="13" fillId="5" borderId="9" xfId="3" applyNumberFormat="1" applyFont="1" applyFill="1" applyBorder="1" applyAlignment="1" applyProtection="1">
      <alignment horizontal="right"/>
      <protection locked="0"/>
    </xf>
    <xf numFmtId="4" fontId="13" fillId="5" borderId="12" xfId="3" applyNumberFormat="1" applyFont="1" applyFill="1" applyBorder="1" applyAlignment="1" applyProtection="1">
      <alignment horizontal="right"/>
      <protection locked="0"/>
    </xf>
    <xf numFmtId="4" fontId="13" fillId="5" borderId="15" xfId="3" applyNumberFormat="1" applyFont="1" applyFill="1" applyBorder="1" applyAlignment="1" applyProtection="1">
      <alignment horizontal="right"/>
      <protection locked="0"/>
    </xf>
    <xf numFmtId="0" fontId="14" fillId="0" borderId="1" xfId="3" applyFont="1" applyFill="1" applyBorder="1" applyAlignment="1" applyProtection="1">
      <alignment horizontal="center"/>
      <protection hidden="1"/>
    </xf>
    <xf numFmtId="0" fontId="14" fillId="0" borderId="1" xfId="3" applyFont="1" applyFill="1" applyBorder="1" applyAlignment="1" applyProtection="1">
      <alignment horizontal="right"/>
      <protection hidden="1"/>
    </xf>
    <xf numFmtId="9" fontId="13" fillId="0" borderId="0" xfId="0" applyNumberFormat="1" applyFont="1" applyProtection="1">
      <protection hidden="1"/>
    </xf>
    <xf numFmtId="0" fontId="14" fillId="0" borderId="1" xfId="3" applyFont="1" applyFill="1" applyBorder="1" applyProtection="1">
      <protection hidden="1"/>
    </xf>
    <xf numFmtId="0" fontId="18" fillId="0" borderId="0" xfId="3" applyFont="1" applyProtection="1">
      <protection hidden="1"/>
    </xf>
    <xf numFmtId="39" fontId="18" fillId="0" borderId="0" xfId="3" applyNumberFormat="1" applyFont="1" applyAlignment="1" applyProtection="1">
      <alignment horizontal="right"/>
      <protection hidden="1"/>
    </xf>
    <xf numFmtId="4" fontId="13" fillId="5" borderId="8" xfId="3" applyNumberFormat="1" applyFont="1" applyFill="1" applyBorder="1" applyProtection="1">
      <protection locked="0"/>
    </xf>
    <xf numFmtId="4" fontId="13" fillId="5" borderId="11" xfId="3" applyNumberFormat="1" applyFont="1" applyFill="1" applyBorder="1" applyProtection="1">
      <protection locked="0"/>
    </xf>
    <xf numFmtId="4" fontId="13" fillId="5" borderId="14" xfId="3" applyNumberFormat="1" applyFont="1" applyFill="1" applyBorder="1" applyProtection="1">
      <protection locked="0"/>
    </xf>
    <xf numFmtId="0" fontId="18" fillId="0" borderId="0" xfId="0" applyFont="1" applyProtection="1">
      <protection hidden="1"/>
    </xf>
    <xf numFmtId="4" fontId="18" fillId="0" borderId="0" xfId="0" applyNumberFormat="1" applyFont="1" applyProtection="1">
      <protection hidden="1"/>
    </xf>
    <xf numFmtId="0" fontId="18" fillId="0" borderId="0" xfId="3" applyFont="1"/>
    <xf numFmtId="39" fontId="18" fillId="0" borderId="0" xfId="3" applyNumberFormat="1" applyFont="1" applyAlignment="1">
      <alignment horizontal="right"/>
    </xf>
    <xf numFmtId="4" fontId="13" fillId="5" borderId="29" xfId="3" applyNumberFormat="1" applyFont="1" applyFill="1" applyBorder="1" applyProtection="1">
      <protection locked="0"/>
    </xf>
    <xf numFmtId="4" fontId="13" fillId="5" borderId="27" xfId="3" applyNumberFormat="1" applyFont="1" applyFill="1" applyBorder="1" applyProtection="1">
      <protection locked="0"/>
    </xf>
    <xf numFmtId="4" fontId="13" fillId="5" borderId="28" xfId="3" applyNumberFormat="1" applyFont="1" applyFill="1" applyBorder="1" applyProtection="1">
      <protection locked="0"/>
    </xf>
    <xf numFmtId="0" fontId="13" fillId="5" borderId="1" xfId="3" applyFont="1" applyFill="1" applyBorder="1" applyAlignment="1" applyProtection="1">
      <alignment horizontal="left"/>
      <protection locked="0"/>
    </xf>
    <xf numFmtId="4" fontId="13" fillId="5" borderId="1" xfId="3" applyNumberFormat="1" applyFont="1" applyFill="1" applyBorder="1" applyProtection="1">
      <protection locked="0"/>
    </xf>
    <xf numFmtId="0" fontId="18" fillId="0" borderId="0" xfId="3" applyFont="1" applyAlignment="1">
      <alignment horizontal="center"/>
    </xf>
    <xf numFmtId="14" fontId="13" fillId="0" borderId="0" xfId="3" applyNumberFormat="1" applyFont="1" applyAlignment="1" applyProtection="1">
      <alignment horizontal="center"/>
      <protection hidden="1"/>
    </xf>
    <xf numFmtId="1" fontId="13" fillId="0" borderId="0" xfId="3" applyNumberFormat="1" applyFont="1" applyAlignment="1">
      <alignment horizontal="center"/>
    </xf>
    <xf numFmtId="170" fontId="14" fillId="6" borderId="0" xfId="0" applyNumberFormat="1" applyFont="1" applyFill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4" fillId="0" borderId="0" xfId="3" applyFont="1" applyFill="1" applyAlignment="1" applyProtection="1">
      <alignment horizontal="center"/>
      <protection hidden="1"/>
    </xf>
    <xf numFmtId="39" fontId="14" fillId="0" borderId="0" xfId="3" applyNumberFormat="1" applyFont="1" applyFill="1" applyAlignment="1" applyProtection="1">
      <alignment horizontal="center"/>
      <protection hidden="1"/>
    </xf>
    <xf numFmtId="14" fontId="19" fillId="0" borderId="0" xfId="0" applyNumberFormat="1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39" fontId="7" fillId="0" borderId="0" xfId="3" applyNumberFormat="1" applyFont="1" applyAlignment="1" applyProtection="1">
      <alignment horizontal="left"/>
      <protection hidden="1"/>
    </xf>
    <xf numFmtId="4" fontId="8" fillId="0" borderId="0" xfId="0" applyNumberFormat="1" applyFont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4" fontId="24" fillId="0" borderId="0" xfId="0" applyNumberFormat="1" applyFont="1" applyAlignment="1" applyProtection="1">
      <alignment wrapText="1"/>
      <protection hidden="1"/>
    </xf>
    <xf numFmtId="0" fontId="24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7" fillId="0" borderId="0" xfId="0" applyNumberFormat="1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4" fontId="8" fillId="0" borderId="0" xfId="0" applyNumberFormat="1" applyFont="1" applyAlignment="1">
      <alignment wrapText="1"/>
    </xf>
    <xf numFmtId="14" fontId="8" fillId="0" borderId="0" xfId="0" applyNumberFormat="1" applyFont="1"/>
    <xf numFmtId="14" fontId="8" fillId="0" borderId="0" xfId="0" applyNumberFormat="1" applyFont="1" applyProtection="1">
      <protection hidden="1"/>
    </xf>
    <xf numFmtId="0" fontId="7" fillId="6" borderId="0" xfId="0" applyFont="1" applyFill="1" applyAlignment="1" applyProtection="1">
      <alignment vertical="center"/>
      <protection hidden="1"/>
    </xf>
    <xf numFmtId="4" fontId="7" fillId="6" borderId="0" xfId="0" applyNumberFormat="1" applyFont="1" applyFill="1" applyAlignment="1" applyProtection="1">
      <alignment vertical="center" wrapText="1"/>
      <protection hidden="1"/>
    </xf>
    <xf numFmtId="4" fontId="7" fillId="6" borderId="0" xfId="0" applyNumberFormat="1" applyFont="1" applyFill="1" applyAlignment="1" applyProtection="1">
      <alignment horizontal="right" vertical="center"/>
      <protection hidden="1"/>
    </xf>
    <xf numFmtId="0" fontId="7" fillId="0" borderId="0" xfId="0" applyFont="1" applyFill="1" applyProtection="1">
      <protection hidden="1"/>
    </xf>
    <xf numFmtId="14" fontId="8" fillId="0" borderId="0" xfId="0" applyNumberFormat="1" applyFont="1" applyFill="1" applyProtection="1">
      <protection hidden="1"/>
    </xf>
    <xf numFmtId="4" fontId="8" fillId="0" borderId="0" xfId="0" applyNumberFormat="1" applyFont="1" applyFill="1" applyAlignment="1" applyProtection="1">
      <alignment wrapText="1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13" fillId="5" borderId="8" xfId="0" applyFont="1" applyFill="1" applyBorder="1" applyProtection="1">
      <protection locked="0"/>
    </xf>
    <xf numFmtId="0" fontId="13" fillId="5" borderId="9" xfId="0" applyFont="1" applyFill="1" applyBorder="1" applyAlignment="1" applyProtection="1">
      <alignment horizontal="center"/>
      <protection locked="0"/>
    </xf>
    <xf numFmtId="0" fontId="13" fillId="5" borderId="10" xfId="0" applyFont="1" applyFill="1" applyBorder="1" applyAlignment="1" applyProtection="1">
      <alignment horizontal="center"/>
      <protection locked="0"/>
    </xf>
    <xf numFmtId="0" fontId="13" fillId="5" borderId="11" xfId="0" applyFont="1" applyFill="1" applyBorder="1" applyProtection="1">
      <protection locked="0"/>
    </xf>
    <xf numFmtId="0" fontId="13" fillId="5" borderId="12" xfId="0" applyFont="1" applyFill="1" applyBorder="1" applyAlignment="1" applyProtection="1">
      <alignment horizontal="center"/>
      <protection locked="0"/>
    </xf>
    <xf numFmtId="0" fontId="13" fillId="5" borderId="13" xfId="0" applyFont="1" applyFill="1" applyBorder="1" applyAlignment="1" applyProtection="1">
      <alignment horizontal="center"/>
      <protection locked="0"/>
    </xf>
    <xf numFmtId="0" fontId="13" fillId="5" borderId="14" xfId="0" applyFont="1" applyFill="1" applyBorder="1" applyProtection="1">
      <protection locked="0"/>
    </xf>
    <xf numFmtId="0" fontId="13" fillId="5" borderId="15" xfId="0" applyFont="1" applyFill="1" applyBorder="1" applyAlignment="1" applyProtection="1">
      <alignment horizontal="center"/>
      <protection locked="0"/>
    </xf>
    <xf numFmtId="0" fontId="13" fillId="5" borderId="16" xfId="0" applyFont="1" applyFill="1" applyBorder="1" applyAlignment="1" applyProtection="1">
      <alignment horizontal="center"/>
      <protection locked="0"/>
    </xf>
    <xf numFmtId="4" fontId="8" fillId="5" borderId="9" xfId="0" applyNumberFormat="1" applyFont="1" applyFill="1" applyBorder="1" applyAlignment="1" applyProtection="1">
      <alignment horizontal="center" wrapText="1"/>
      <protection locked="0"/>
    </xf>
    <xf numFmtId="14" fontId="8" fillId="5" borderId="9" xfId="0" applyNumberFormat="1" applyFont="1" applyFill="1" applyBorder="1" applyAlignment="1" applyProtection="1">
      <alignment horizontal="center"/>
      <protection locked="0"/>
    </xf>
    <xf numFmtId="14" fontId="8" fillId="5" borderId="10" xfId="0" applyNumberFormat="1" applyFont="1" applyFill="1" applyBorder="1" applyAlignment="1" applyProtection="1">
      <alignment horizontal="center"/>
      <protection locked="0"/>
    </xf>
    <xf numFmtId="4" fontId="8" fillId="5" borderId="12" xfId="0" applyNumberFormat="1" applyFont="1" applyFill="1" applyBorder="1" applyAlignment="1" applyProtection="1">
      <alignment horizontal="center" wrapText="1"/>
      <protection locked="0"/>
    </xf>
    <xf numFmtId="14" fontId="8" fillId="5" borderId="12" xfId="0" applyNumberFormat="1" applyFont="1" applyFill="1" applyBorder="1" applyAlignment="1" applyProtection="1">
      <alignment horizontal="center"/>
      <protection locked="0"/>
    </xf>
    <xf numFmtId="14" fontId="8" fillId="5" borderId="13" xfId="0" applyNumberFormat="1" applyFont="1" applyFill="1" applyBorder="1" applyAlignment="1" applyProtection="1">
      <alignment horizontal="center"/>
      <protection locked="0"/>
    </xf>
    <xf numFmtId="4" fontId="8" fillId="5" borderId="15" xfId="0" applyNumberFormat="1" applyFont="1" applyFill="1" applyBorder="1" applyAlignment="1" applyProtection="1">
      <alignment horizontal="center" wrapText="1"/>
      <protection locked="0"/>
    </xf>
    <xf numFmtId="14" fontId="8" fillId="5" borderId="15" xfId="0" applyNumberFormat="1" applyFont="1" applyFill="1" applyBorder="1" applyAlignment="1" applyProtection="1">
      <alignment horizontal="center"/>
      <protection locked="0"/>
    </xf>
    <xf numFmtId="14" fontId="8" fillId="5" borderId="16" xfId="0" applyNumberFormat="1" applyFont="1" applyFill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/>
      <protection locked="0"/>
    </xf>
    <xf numFmtId="0" fontId="8" fillId="5" borderId="9" xfId="0" applyFont="1" applyFill="1" applyBorder="1" applyAlignment="1" applyProtection="1">
      <alignment horizontal="center"/>
      <protection locked="0"/>
    </xf>
    <xf numFmtId="170" fontId="8" fillId="0" borderId="0" xfId="0" applyNumberFormat="1" applyFont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locked="0"/>
    </xf>
    <xf numFmtId="0" fontId="8" fillId="5" borderId="12" xfId="0" applyFont="1" applyFill="1" applyBorder="1" applyAlignment="1" applyProtection="1">
      <alignment horizontal="center"/>
      <protection locked="0"/>
    </xf>
    <xf numFmtId="0" fontId="8" fillId="5" borderId="14" xfId="0" applyFont="1" applyFill="1" applyBorder="1" applyAlignment="1" applyProtection="1">
      <alignment horizontal="center"/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4" fontId="19" fillId="0" borderId="0" xfId="0" applyNumberFormat="1" applyFont="1" applyAlignment="1" applyProtection="1">
      <alignment wrapText="1"/>
      <protection hidden="1"/>
    </xf>
    <xf numFmtId="0" fontId="18" fillId="0" borderId="0" xfId="0" applyFont="1"/>
    <xf numFmtId="0" fontId="26" fillId="0" borderId="0" xfId="0" applyFont="1"/>
    <xf numFmtId="14" fontId="26" fillId="0" borderId="0" xfId="0" applyNumberFormat="1" applyFont="1"/>
    <xf numFmtId="4" fontId="26" fillId="0" borderId="0" xfId="0" applyNumberFormat="1" applyFont="1" applyAlignment="1">
      <alignment wrapText="1"/>
    </xf>
    <xf numFmtId="0" fontId="14" fillId="0" borderId="0" xfId="0" applyFont="1" applyAlignment="1">
      <alignment horizontal="left"/>
    </xf>
    <xf numFmtId="39" fontId="13" fillId="0" borderId="0" xfId="0" applyNumberFormat="1" applyFont="1"/>
    <xf numFmtId="39" fontId="14" fillId="6" borderId="0" xfId="0" applyNumberFormat="1" applyFont="1" applyFill="1" applyProtection="1">
      <protection hidden="1"/>
    </xf>
    <xf numFmtId="39" fontId="14" fillId="0" borderId="0" xfId="0" applyNumberFormat="1" applyFont="1"/>
    <xf numFmtId="0" fontId="13" fillId="0" borderId="0" xfId="0" applyFont="1" applyFill="1" applyProtection="1">
      <protection hidden="1"/>
    </xf>
    <xf numFmtId="4" fontId="13" fillId="0" borderId="0" xfId="0" applyNumberFormat="1" applyFont="1" applyFill="1" applyAlignment="1" applyProtection="1">
      <alignment wrapText="1"/>
      <protection hidden="1"/>
    </xf>
    <xf numFmtId="0" fontId="14" fillId="5" borderId="8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11" xfId="0" applyFont="1" applyFill="1" applyBorder="1" applyAlignment="1" applyProtection="1">
      <alignment horizontal="center" wrapText="1"/>
      <protection locked="0"/>
    </xf>
    <xf numFmtId="0" fontId="14" fillId="5" borderId="12" xfId="0" applyFont="1" applyFill="1" applyBorder="1" applyAlignment="1" applyProtection="1">
      <alignment horizontal="center" wrapText="1"/>
      <protection locked="0"/>
    </xf>
    <xf numFmtId="0" fontId="14" fillId="5" borderId="13" xfId="0" applyFont="1" applyFill="1" applyBorder="1" applyAlignment="1" applyProtection="1">
      <alignment horizontal="center" wrapText="1"/>
      <protection locked="0"/>
    </xf>
    <xf numFmtId="39" fontId="13" fillId="5" borderId="11" xfId="0" applyNumberFormat="1" applyFont="1" applyFill="1" applyBorder="1" applyProtection="1">
      <protection locked="0"/>
    </xf>
    <xf numFmtId="39" fontId="13" fillId="5" borderId="12" xfId="0" applyNumberFormat="1" applyFont="1" applyFill="1" applyBorder="1" applyProtection="1">
      <protection locked="0"/>
    </xf>
    <xf numFmtId="39" fontId="13" fillId="5" borderId="13" xfId="0" applyNumberFormat="1" applyFont="1" applyFill="1" applyBorder="1" applyProtection="1">
      <protection locked="0"/>
    </xf>
    <xf numFmtId="39" fontId="13" fillId="5" borderId="14" xfId="0" applyNumberFormat="1" applyFont="1" applyFill="1" applyBorder="1" applyProtection="1">
      <protection locked="0"/>
    </xf>
    <xf numFmtId="39" fontId="13" fillId="5" borderId="15" xfId="0" applyNumberFormat="1" applyFont="1" applyFill="1" applyBorder="1" applyProtection="1">
      <protection locked="0"/>
    </xf>
    <xf numFmtId="39" fontId="13" fillId="5" borderId="16" xfId="0" applyNumberFormat="1" applyFont="1" applyFill="1" applyBorder="1" applyProtection="1">
      <protection locked="0"/>
    </xf>
    <xf numFmtId="0" fontId="13" fillId="0" borderId="0" xfId="0" applyFont="1" applyAlignment="1">
      <alignment horizontal="center"/>
    </xf>
    <xf numFmtId="39" fontId="13" fillId="0" borderId="0" xfId="0" applyNumberFormat="1" applyFont="1" applyAlignment="1">
      <alignment horizontal="center"/>
    </xf>
    <xf numFmtId="0" fontId="13" fillId="5" borderId="5" xfId="0" applyFont="1" applyFill="1" applyBorder="1" applyAlignment="1" applyProtection="1">
      <alignment horizontal="center"/>
      <protection locked="0"/>
    </xf>
    <xf numFmtId="39" fontId="13" fillId="0" borderId="0" xfId="0" applyNumberFormat="1" applyFont="1" applyAlignment="1" applyProtection="1">
      <alignment horizontal="center"/>
      <protection hidden="1"/>
    </xf>
    <xf numFmtId="39" fontId="13" fillId="5" borderId="5" xfId="0" applyNumberFormat="1" applyFont="1" applyFill="1" applyBorder="1" applyAlignment="1" applyProtection="1">
      <alignment horizontal="center"/>
      <protection locked="0"/>
    </xf>
    <xf numFmtId="0" fontId="13" fillId="5" borderId="6" xfId="0" applyFont="1" applyFill="1" applyBorder="1" applyAlignment="1" applyProtection="1">
      <alignment horizontal="center"/>
      <protection locked="0"/>
    </xf>
    <xf numFmtId="39" fontId="13" fillId="5" borderId="6" xfId="0" applyNumberFormat="1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39" fontId="13" fillId="5" borderId="7" xfId="0" applyNumberFormat="1" applyFont="1" applyFill="1" applyBorder="1" applyAlignment="1" applyProtection="1">
      <alignment horizontal="center"/>
      <protection locked="0"/>
    </xf>
    <xf numFmtId="1" fontId="13" fillId="5" borderId="8" xfId="4" applyNumberFormat="1" applyFont="1" applyFill="1" applyBorder="1" applyAlignment="1" applyProtection="1">
      <alignment horizontal="center"/>
      <protection locked="0"/>
    </xf>
    <xf numFmtId="4" fontId="13" fillId="5" borderId="9" xfId="4" applyNumberFormat="1" applyFont="1" applyFill="1" applyBorder="1" applyAlignment="1" applyProtection="1">
      <alignment horizontal="center"/>
      <protection locked="0"/>
    </xf>
    <xf numFmtId="4" fontId="13" fillId="5" borderId="10" xfId="4" applyNumberFormat="1" applyFont="1" applyFill="1" applyBorder="1" applyAlignment="1" applyProtection="1">
      <alignment horizontal="center"/>
      <protection locked="0"/>
    </xf>
    <xf numFmtId="1" fontId="13" fillId="5" borderId="11" xfId="4" applyNumberFormat="1" applyFont="1" applyFill="1" applyBorder="1" applyAlignment="1" applyProtection="1">
      <alignment horizontal="center"/>
      <protection locked="0"/>
    </xf>
    <xf numFmtId="4" fontId="13" fillId="5" borderId="12" xfId="4" applyNumberFormat="1" applyFont="1" applyFill="1" applyBorder="1" applyAlignment="1" applyProtection="1">
      <alignment horizontal="center"/>
      <protection locked="0"/>
    </xf>
    <xf numFmtId="4" fontId="13" fillId="5" borderId="13" xfId="4" applyNumberFormat="1" applyFont="1" applyFill="1" applyBorder="1" applyAlignment="1" applyProtection="1">
      <alignment horizontal="center"/>
      <protection locked="0"/>
    </xf>
    <xf numFmtId="1" fontId="13" fillId="5" borderId="14" xfId="4" applyNumberFormat="1" applyFont="1" applyFill="1" applyBorder="1" applyAlignment="1" applyProtection="1">
      <alignment horizontal="center"/>
      <protection locked="0"/>
    </xf>
    <xf numFmtId="4" fontId="13" fillId="5" borderId="15" xfId="4" applyNumberFormat="1" applyFont="1" applyFill="1" applyBorder="1" applyAlignment="1" applyProtection="1">
      <alignment horizontal="center"/>
      <protection locked="0"/>
    </xf>
    <xf numFmtId="4" fontId="13" fillId="5" borderId="16" xfId="4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>
      <alignment vertical="center" wrapText="1"/>
    </xf>
    <xf numFmtId="3" fontId="13" fillId="0" borderId="0" xfId="4" applyNumberFormat="1" applyFont="1" applyAlignment="1" applyProtection="1">
      <alignment horizontal="center"/>
      <protection hidden="1"/>
    </xf>
    <xf numFmtId="4" fontId="13" fillId="0" borderId="0" xfId="4" applyNumberFormat="1" applyFont="1" applyAlignment="1" applyProtection="1">
      <alignment horizontal="center"/>
      <protection hidden="1"/>
    </xf>
    <xf numFmtId="3" fontId="13" fillId="5" borderId="9" xfId="4" applyNumberFormat="1" applyFont="1" applyFill="1" applyBorder="1" applyAlignment="1" applyProtection="1">
      <alignment horizontal="center"/>
      <protection locked="0"/>
    </xf>
    <xf numFmtId="3" fontId="13" fillId="5" borderId="12" xfId="4" applyNumberFormat="1" applyFont="1" applyFill="1" applyBorder="1" applyAlignment="1" applyProtection="1">
      <alignment horizontal="center"/>
      <protection locked="0"/>
    </xf>
    <xf numFmtId="4" fontId="14" fillId="6" borderId="0" xfId="4" applyNumberFormat="1" applyFont="1" applyFill="1" applyAlignment="1" applyProtection="1">
      <alignment horizontal="center"/>
      <protection hidden="1"/>
    </xf>
    <xf numFmtId="0" fontId="27" fillId="0" borderId="0" xfId="7"/>
    <xf numFmtId="0" fontId="14" fillId="6" borderId="0" xfId="1" applyFont="1" applyFill="1" applyAlignment="1" applyProtection="1">
      <alignment horizontal="left"/>
      <protection hidden="1"/>
    </xf>
    <xf numFmtId="0" fontId="13" fillId="5" borderId="8" xfId="3" applyFont="1" applyFill="1" applyBorder="1" applyAlignment="1" applyProtection="1">
      <alignment horizontal="right"/>
      <protection locked="0"/>
    </xf>
    <xf numFmtId="0" fontId="13" fillId="5" borderId="11" xfId="3" applyFont="1" applyFill="1" applyBorder="1" applyAlignment="1" applyProtection="1">
      <alignment horizontal="right"/>
      <protection locked="0"/>
    </xf>
    <xf numFmtId="0" fontId="13" fillId="5" borderId="14" xfId="3" applyFont="1" applyFill="1" applyBorder="1" applyAlignment="1" applyProtection="1">
      <alignment horizontal="right"/>
      <protection locked="0"/>
    </xf>
    <xf numFmtId="166" fontId="13" fillId="5" borderId="9" xfId="3" applyNumberFormat="1" applyFont="1" applyFill="1" applyBorder="1" applyAlignment="1" applyProtection="1">
      <alignment horizontal="center"/>
      <protection locked="0"/>
    </xf>
    <xf numFmtId="166" fontId="13" fillId="5" borderId="12" xfId="3" applyNumberFormat="1" applyFont="1" applyFill="1" applyBorder="1" applyAlignment="1" applyProtection="1">
      <alignment horizontal="center"/>
      <protection locked="0"/>
    </xf>
    <xf numFmtId="166" fontId="13" fillId="5" borderId="15" xfId="3" applyNumberFormat="1" applyFont="1" applyFill="1" applyBorder="1" applyAlignment="1" applyProtection="1">
      <alignment horizontal="center"/>
      <protection locked="0"/>
    </xf>
    <xf numFmtId="49" fontId="13" fillId="5" borderId="9" xfId="3" applyNumberFormat="1" applyFont="1" applyFill="1" applyBorder="1" applyAlignment="1" applyProtection="1">
      <alignment horizontal="center"/>
      <protection locked="0"/>
    </xf>
    <xf numFmtId="49" fontId="13" fillId="5" borderId="12" xfId="3" applyNumberFormat="1" applyFont="1" applyFill="1" applyBorder="1" applyAlignment="1" applyProtection="1">
      <alignment horizontal="center"/>
      <protection locked="0"/>
    </xf>
    <xf numFmtId="49" fontId="13" fillId="5" borderId="15" xfId="3" applyNumberFormat="1" applyFont="1" applyFill="1" applyBorder="1" applyAlignment="1" applyProtection="1">
      <alignment horizontal="center"/>
      <protection locked="0"/>
    </xf>
    <xf numFmtId="0" fontId="13" fillId="0" borderId="1" xfId="3" applyFont="1" applyBorder="1" applyAlignment="1" applyProtection="1">
      <alignment horizontal="center"/>
      <protection hidden="1"/>
    </xf>
    <xf numFmtId="169" fontId="13" fillId="5" borderId="1" xfId="1" applyNumberFormat="1" applyFont="1" applyFill="1" applyBorder="1" applyAlignment="1" applyProtection="1">
      <alignment horizontal="center"/>
      <protection locked="0"/>
    </xf>
    <xf numFmtId="170" fontId="13" fillId="0" borderId="0" xfId="1" applyNumberFormat="1" applyFont="1" applyAlignment="1" applyProtection="1">
      <alignment horizontal="center"/>
      <protection hidden="1"/>
    </xf>
    <xf numFmtId="1" fontId="13" fillId="0" borderId="39" xfId="4" applyNumberFormat="1" applyFont="1" applyBorder="1" applyProtection="1">
      <protection locked="0"/>
    </xf>
    <xf numFmtId="1" fontId="13" fillId="5" borderId="24" xfId="4" applyNumberFormat="1" applyFont="1" applyFill="1" applyBorder="1" applyAlignment="1" applyProtection="1">
      <alignment horizontal="center"/>
      <protection locked="0"/>
    </xf>
    <xf numFmtId="0" fontId="27" fillId="0" borderId="0" xfId="7" applyAlignment="1"/>
    <xf numFmtId="4" fontId="8" fillId="5" borderId="2" xfId="0" applyNumberFormat="1" applyFont="1" applyFill="1" applyBorder="1" applyProtection="1">
      <protection locked="0"/>
    </xf>
    <xf numFmtId="4" fontId="8" fillId="5" borderId="1" xfId="0" applyNumberFormat="1" applyFont="1" applyFill="1" applyBorder="1" applyProtection="1">
      <protection locked="0"/>
    </xf>
    <xf numFmtId="0" fontId="7" fillId="6" borderId="0" xfId="0" applyFont="1" applyFill="1" applyAlignment="1">
      <alignment wrapText="1"/>
    </xf>
    <xf numFmtId="0" fontId="8" fillId="5" borderId="8" xfId="3" applyFont="1" applyFill="1" applyBorder="1" applyAlignment="1" applyProtection="1">
      <alignment horizontal="center"/>
      <protection locked="0"/>
    </xf>
    <xf numFmtId="14" fontId="8" fillId="5" borderId="9" xfId="3" applyNumberFormat="1" applyFont="1" applyFill="1" applyBorder="1" applyAlignment="1" applyProtection="1">
      <alignment horizontal="center"/>
      <protection locked="0"/>
    </xf>
    <xf numFmtId="0" fontId="8" fillId="5" borderId="11" xfId="3" applyFont="1" applyFill="1" applyBorder="1" applyAlignment="1" applyProtection="1">
      <alignment horizontal="center"/>
      <protection locked="0"/>
    </xf>
    <xf numFmtId="14" fontId="8" fillId="5" borderId="12" xfId="3" applyNumberFormat="1" applyFont="1" applyFill="1" applyBorder="1" applyAlignment="1" applyProtection="1">
      <alignment horizontal="center"/>
      <protection locked="0"/>
    </xf>
    <xf numFmtId="0" fontId="8" fillId="5" borderId="14" xfId="3" applyFont="1" applyFill="1" applyBorder="1" applyAlignment="1" applyProtection="1">
      <alignment horizontal="center"/>
      <protection locked="0"/>
    </xf>
    <xf numFmtId="14" fontId="8" fillId="5" borderId="15" xfId="3" applyNumberFormat="1" applyFont="1" applyFill="1" applyBorder="1" applyAlignment="1" applyProtection="1">
      <alignment horizontal="center"/>
      <protection locked="0"/>
    </xf>
    <xf numFmtId="4" fontId="7" fillId="6" borderId="39" xfId="0" applyNumberFormat="1" applyFont="1" applyFill="1" applyBorder="1" applyAlignment="1">
      <alignment horizontal="right"/>
    </xf>
    <xf numFmtId="4" fontId="8" fillId="5" borderId="9" xfId="3" applyNumberFormat="1" applyFont="1" applyFill="1" applyBorder="1" applyAlignment="1" applyProtection="1">
      <alignment horizontal="right"/>
      <protection locked="0"/>
    </xf>
    <xf numFmtId="4" fontId="8" fillId="5" borderId="12" xfId="3" applyNumberFormat="1" applyFont="1" applyFill="1" applyBorder="1" applyAlignment="1" applyProtection="1">
      <alignment horizontal="right"/>
      <protection locked="0"/>
    </xf>
    <xf numFmtId="4" fontId="8" fillId="5" borderId="15" xfId="3" applyNumberFormat="1" applyFont="1" applyFill="1" applyBorder="1" applyAlignment="1" applyProtection="1">
      <alignment horizontal="right"/>
      <protection locked="0"/>
    </xf>
    <xf numFmtId="4" fontId="8" fillId="5" borderId="10" xfId="3" applyNumberFormat="1" applyFont="1" applyFill="1" applyBorder="1" applyAlignment="1" applyProtection="1">
      <alignment horizontal="right"/>
      <protection locked="0"/>
    </xf>
    <xf numFmtId="4" fontId="8" fillId="5" borderId="13" xfId="3" applyNumberFormat="1" applyFont="1" applyFill="1" applyBorder="1" applyAlignment="1" applyProtection="1">
      <alignment horizontal="right"/>
      <protection locked="0"/>
    </xf>
    <xf numFmtId="4" fontId="8" fillId="5" borderId="16" xfId="3" applyNumberFormat="1" applyFont="1" applyFill="1" applyBorder="1" applyAlignment="1" applyProtection="1">
      <alignment horizontal="right"/>
      <protection locked="0"/>
    </xf>
    <xf numFmtId="4" fontId="7" fillId="6" borderId="0" xfId="0" applyNumberFormat="1" applyFont="1" applyFill="1" applyAlignment="1">
      <alignment horizontal="right" vertical="center"/>
    </xf>
    <xf numFmtId="165" fontId="7" fillId="6" borderId="0" xfId="3" applyNumberFormat="1" applyFont="1" applyFill="1" applyAlignment="1" applyProtection="1">
      <alignment horizontal="center" vertical="center"/>
      <protection hidden="1"/>
    </xf>
    <xf numFmtId="0" fontId="8" fillId="0" borderId="1" xfId="3" applyFont="1" applyFill="1" applyBorder="1" applyAlignment="1" applyProtection="1">
      <alignment horizontal="center" vertical="center" wrapText="1"/>
      <protection hidden="1"/>
    </xf>
    <xf numFmtId="39" fontId="8" fillId="5" borderId="9" xfId="3" applyNumberFormat="1" applyFont="1" applyFill="1" applyBorder="1" applyAlignment="1" applyProtection="1">
      <alignment horizontal="right"/>
      <protection locked="0"/>
    </xf>
    <xf numFmtId="39" fontId="8" fillId="5" borderId="10" xfId="3" applyNumberFormat="1" applyFont="1" applyFill="1" applyBorder="1" applyAlignment="1" applyProtection="1">
      <alignment horizontal="right"/>
      <protection locked="0"/>
    </xf>
    <xf numFmtId="39" fontId="8" fillId="5" borderId="12" xfId="3" applyNumberFormat="1" applyFont="1" applyFill="1" applyBorder="1" applyAlignment="1" applyProtection="1">
      <alignment horizontal="right"/>
      <protection locked="0"/>
    </xf>
    <xf numFmtId="39" fontId="8" fillId="5" borderId="13" xfId="3" applyNumberFormat="1" applyFont="1" applyFill="1" applyBorder="1" applyAlignment="1" applyProtection="1">
      <alignment horizontal="right"/>
      <protection locked="0"/>
    </xf>
    <xf numFmtId="39" fontId="8" fillId="5" borderId="27" xfId="3" applyNumberFormat="1" applyFont="1" applyFill="1" applyBorder="1" applyAlignment="1" applyProtection="1">
      <alignment horizontal="right"/>
      <protection locked="0"/>
    </xf>
    <xf numFmtId="39" fontId="8" fillId="5" borderId="28" xfId="3" applyNumberFormat="1" applyFont="1" applyFill="1" applyBorder="1" applyAlignment="1" applyProtection="1">
      <alignment horizontal="right"/>
      <protection locked="0"/>
    </xf>
    <xf numFmtId="39" fontId="8" fillId="5" borderId="11" xfId="3" applyNumberFormat="1" applyFont="1" applyFill="1" applyBorder="1" applyAlignment="1" applyProtection="1">
      <alignment horizontal="right"/>
      <protection locked="0"/>
    </xf>
    <xf numFmtId="39" fontId="8" fillId="5" borderId="14" xfId="3" applyNumberFormat="1" applyFont="1" applyFill="1" applyBorder="1" applyAlignment="1" applyProtection="1">
      <alignment horizontal="right"/>
      <protection locked="0"/>
    </xf>
    <xf numFmtId="39" fontId="8" fillId="5" borderId="15" xfId="3" applyNumberFormat="1" applyFont="1" applyFill="1" applyBorder="1" applyAlignment="1" applyProtection="1">
      <alignment horizontal="right"/>
      <protection locked="0"/>
    </xf>
    <xf numFmtId="39" fontId="8" fillId="5" borderId="16" xfId="3" applyNumberFormat="1" applyFont="1" applyFill="1" applyBorder="1" applyAlignment="1" applyProtection="1">
      <alignment horizontal="right"/>
      <protection locked="0"/>
    </xf>
    <xf numFmtId="0" fontId="7" fillId="0" borderId="1" xfId="3" applyFont="1" applyFill="1" applyBorder="1" applyAlignment="1">
      <alignment horizontal="center" vertical="center"/>
    </xf>
    <xf numFmtId="39" fontId="7" fillId="0" borderId="1" xfId="3" applyNumberFormat="1" applyFont="1" applyFill="1" applyBorder="1" applyAlignment="1">
      <alignment horizontal="center" vertical="center"/>
    </xf>
    <xf numFmtId="39" fontId="7" fillId="0" borderId="1" xfId="3" applyNumberFormat="1" applyFont="1" applyFill="1" applyBorder="1" applyAlignment="1">
      <alignment horizontal="center" vertical="center" wrapText="1"/>
    </xf>
    <xf numFmtId="39" fontId="7" fillId="0" borderId="1" xfId="3" applyNumberFormat="1" applyFont="1" applyFill="1" applyBorder="1" applyAlignment="1" applyProtection="1">
      <alignment horizontal="center" vertical="center"/>
      <protection hidden="1"/>
    </xf>
    <xf numFmtId="9" fontId="8" fillId="0" borderId="0" xfId="3" applyNumberFormat="1" applyFont="1" applyAlignment="1" applyProtection="1">
      <alignment horizontal="center"/>
      <protection hidden="1"/>
    </xf>
    <xf numFmtId="0" fontId="7" fillId="0" borderId="1" xfId="3" applyFont="1" applyFill="1" applyBorder="1" applyAlignment="1">
      <alignment horizontal="center"/>
    </xf>
    <xf numFmtId="39" fontId="7" fillId="0" borderId="1" xfId="3" applyNumberFormat="1" applyFont="1" applyFill="1" applyBorder="1" applyAlignment="1">
      <alignment horizontal="center"/>
    </xf>
    <xf numFmtId="39" fontId="7" fillId="0" borderId="21" xfId="3" applyNumberFormat="1" applyFont="1" applyFill="1" applyBorder="1" applyAlignment="1">
      <alignment horizontal="center"/>
    </xf>
    <xf numFmtId="39" fontId="7" fillId="0" borderId="22" xfId="3" applyNumberFormat="1" applyFont="1" applyFill="1" applyBorder="1" applyAlignment="1">
      <alignment horizontal="center"/>
    </xf>
    <xf numFmtId="39" fontId="7" fillId="0" borderId="4" xfId="3" applyNumberFormat="1" applyFont="1" applyFill="1" applyBorder="1" applyAlignment="1">
      <alignment horizontal="center"/>
    </xf>
    <xf numFmtId="39" fontId="7" fillId="0" borderId="1" xfId="3" applyNumberFormat="1" applyFont="1" applyFill="1" applyBorder="1" applyAlignment="1" applyProtection="1">
      <alignment horizontal="center"/>
      <protection hidden="1"/>
    </xf>
    <xf numFmtId="39" fontId="8" fillId="0" borderId="0" xfId="3" applyNumberFormat="1" applyFont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39" fontId="7" fillId="0" borderId="22" xfId="3" applyNumberFormat="1" applyFont="1" applyFill="1" applyBorder="1" applyAlignment="1">
      <alignment horizontal="center" vertical="center"/>
    </xf>
    <xf numFmtId="0" fontId="8" fillId="5" borderId="15" xfId="3" applyFont="1" applyFill="1" applyBorder="1" applyAlignment="1" applyProtection="1">
      <alignment horizontal="center"/>
      <protection locked="0"/>
    </xf>
    <xf numFmtId="0" fontId="8" fillId="5" borderId="16" xfId="3" applyFont="1" applyFill="1" applyBorder="1" applyAlignment="1" applyProtection="1">
      <alignment horizontal="center"/>
      <protection locked="0"/>
    </xf>
    <xf numFmtId="0" fontId="14" fillId="5" borderId="1" xfId="3" applyFont="1" applyFill="1" applyBorder="1" applyAlignment="1" applyProtection="1">
      <alignment horizontal="center"/>
      <protection locked="0"/>
    </xf>
    <xf numFmtId="0" fontId="14" fillId="5" borderId="1" xfId="3" applyFont="1" applyFill="1" applyBorder="1" applyAlignment="1" applyProtection="1">
      <alignment horizontal="right"/>
      <protection locked="0"/>
    </xf>
    <xf numFmtId="0" fontId="14" fillId="5" borderId="1" xfId="3" applyFont="1" applyFill="1" applyBorder="1" applyAlignment="1" applyProtection="1">
      <alignment horizontal="center"/>
      <protection locked="0" hidden="1"/>
    </xf>
    <xf numFmtId="0" fontId="13" fillId="5" borderId="5" xfId="3" applyFont="1" applyFill="1" applyBorder="1" applyAlignment="1" applyProtection="1">
      <alignment horizontal="center"/>
      <protection locked="0"/>
    </xf>
    <xf numFmtId="0" fontId="13" fillId="5" borderId="6" xfId="3" applyFont="1" applyFill="1" applyBorder="1" applyAlignment="1" applyProtection="1">
      <alignment horizontal="center"/>
      <protection locked="0"/>
    </xf>
    <xf numFmtId="0" fontId="13" fillId="5" borderId="7" xfId="3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 wrapText="1"/>
      <protection hidden="1"/>
    </xf>
    <xf numFmtId="14" fontId="13" fillId="3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23" xfId="1" applyFont="1" applyBorder="1"/>
    <xf numFmtId="0" fontId="16" fillId="0" borderId="40" xfId="1" applyFont="1" applyBorder="1" applyAlignment="1">
      <alignment horizontal="left"/>
    </xf>
    <xf numFmtId="0" fontId="14" fillId="0" borderId="40" xfId="1" applyFont="1" applyBorder="1"/>
    <xf numFmtId="0" fontId="0" fillId="0" borderId="40" xfId="0" applyBorder="1"/>
    <xf numFmtId="0" fontId="28" fillId="0" borderId="41" xfId="1" applyFont="1" applyBorder="1" applyAlignment="1">
      <alignment horizontal="left"/>
    </xf>
    <xf numFmtId="0" fontId="14" fillId="0" borderId="41" xfId="1" applyFont="1" applyBorder="1"/>
    <xf numFmtId="0" fontId="0" fillId="0" borderId="41" xfId="0" applyBorder="1"/>
    <xf numFmtId="0" fontId="8" fillId="0" borderId="0" xfId="1" applyFont="1" applyAlignment="1">
      <alignment horizontal="justify" vertical="top" wrapText="1"/>
    </xf>
    <xf numFmtId="10" fontId="13" fillId="0" borderId="0" xfId="3" applyNumberFormat="1" applyFont="1" applyAlignment="1" applyProtection="1">
      <alignment horizontal="left" vertical="center"/>
      <protection hidden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7" fillId="0" borderId="0" xfId="7" applyAlignment="1">
      <alignment horizontal="right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7" fillId="0" borderId="1" xfId="0" applyNumberFormat="1" applyFont="1" applyBorder="1" applyAlignment="1" applyProtection="1">
      <alignment horizontal="center" vertical="center" wrapText="1"/>
      <protection hidden="1"/>
    </xf>
    <xf numFmtId="39" fontId="14" fillId="6" borderId="5" xfId="0" applyNumberFormat="1" applyFont="1" applyFill="1" applyBorder="1" applyAlignment="1" applyProtection="1">
      <alignment horizontal="center"/>
      <protection hidden="1"/>
    </xf>
    <xf numFmtId="39" fontId="14" fillId="6" borderId="6" xfId="0" applyNumberFormat="1" applyFont="1" applyFill="1" applyBorder="1" applyAlignment="1" applyProtection="1">
      <alignment horizontal="center"/>
      <protection hidden="1"/>
    </xf>
    <xf numFmtId="39" fontId="14" fillId="6" borderId="7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horizontal="left" vertical="center" wrapText="1"/>
    </xf>
    <xf numFmtId="0" fontId="27" fillId="0" borderId="0" xfId="7" applyFont="1"/>
    <xf numFmtId="0" fontId="30" fillId="0" borderId="0" xfId="1" applyFont="1"/>
    <xf numFmtId="0" fontId="8" fillId="0" borderId="0" xfId="1" applyFont="1" applyAlignment="1" applyProtection="1">
      <alignment vertical="center"/>
      <protection hidden="1"/>
    </xf>
    <xf numFmtId="14" fontId="8" fillId="0" borderId="0" xfId="3" applyNumberFormat="1" applyFont="1" applyAlignment="1" applyProtection="1">
      <alignment horizontal="right" vertical="center"/>
      <protection hidden="1"/>
    </xf>
    <xf numFmtId="0" fontId="31" fillId="0" borderId="0" xfId="1" applyFont="1" applyProtection="1">
      <protection hidden="1"/>
    </xf>
    <xf numFmtId="0" fontId="30" fillId="0" borderId="0" xfId="1" applyFont="1" applyProtection="1">
      <protection hidden="1"/>
    </xf>
    <xf numFmtId="14" fontId="30" fillId="0" borderId="0" xfId="1" applyNumberFormat="1" applyFont="1" applyAlignment="1" applyProtection="1">
      <alignment horizontal="right"/>
      <protection hidden="1"/>
    </xf>
    <xf numFmtId="4" fontId="30" fillId="0" borderId="0" xfId="1" applyNumberFormat="1" applyFont="1" applyAlignment="1" applyProtection="1">
      <alignment horizontal="right" wrapText="1"/>
      <protection hidden="1"/>
    </xf>
    <xf numFmtId="0" fontId="30" fillId="0" borderId="0" xfId="1" applyFont="1" applyAlignment="1" applyProtection="1">
      <alignment horizontal="right"/>
      <protection hidden="1"/>
    </xf>
    <xf numFmtId="4" fontId="8" fillId="0" borderId="0" xfId="4" applyNumberFormat="1" applyFont="1" applyAlignment="1" applyProtection="1">
      <alignment horizontal="center"/>
      <protection hidden="1"/>
    </xf>
    <xf numFmtId="1" fontId="8" fillId="5" borderId="11" xfId="4" applyNumberFormat="1" applyFont="1" applyFill="1" applyBorder="1" applyAlignment="1" applyProtection="1">
      <alignment horizontal="center"/>
      <protection locked="0"/>
    </xf>
    <xf numFmtId="1" fontId="8" fillId="5" borderId="14" xfId="4" applyNumberFormat="1" applyFont="1" applyFill="1" applyBorder="1" applyAlignment="1" applyProtection="1">
      <alignment horizontal="center"/>
      <protection locked="0"/>
    </xf>
    <xf numFmtId="1" fontId="8" fillId="0" borderId="0" xfId="4" applyNumberFormat="1" applyFont="1" applyAlignment="1" applyProtection="1">
      <alignment horizontal="center"/>
      <protection locked="0"/>
    </xf>
    <xf numFmtId="4" fontId="8" fillId="0" borderId="0" xfId="4" applyNumberFormat="1" applyFont="1" applyAlignment="1" applyProtection="1">
      <alignment horizontal="center"/>
      <protection locked="0"/>
    </xf>
    <xf numFmtId="164" fontId="8" fillId="0" borderId="0" xfId="4" applyNumberFormat="1" applyFont="1" applyAlignment="1" applyProtection="1">
      <alignment horizontal="center"/>
      <protection locked="0"/>
    </xf>
    <xf numFmtId="164" fontId="8" fillId="0" borderId="0" xfId="4" applyNumberFormat="1" applyFont="1" applyAlignment="1" applyProtection="1">
      <alignment horizontal="center"/>
      <protection locked="0" hidden="1"/>
    </xf>
    <xf numFmtId="4" fontId="7" fillId="6" borderId="0" xfId="4" applyNumberFormat="1" applyFont="1" applyFill="1"/>
    <xf numFmtId="0" fontId="7" fillId="6" borderId="0" xfId="4" applyFont="1" applyFill="1"/>
    <xf numFmtId="4" fontId="7" fillId="6" borderId="0" xfId="4" applyNumberFormat="1" applyFont="1" applyFill="1" applyAlignment="1">
      <alignment horizontal="right"/>
    </xf>
    <xf numFmtId="164" fontId="7" fillId="6" borderId="0" xfId="4" applyNumberFormat="1" applyFont="1" applyFill="1" applyAlignment="1">
      <alignment horizontal="right"/>
    </xf>
    <xf numFmtId="4" fontId="7" fillId="6" borderId="0" xfId="4" applyNumberFormat="1" applyFont="1" applyFill="1" applyAlignment="1" applyProtection="1">
      <alignment horizontal="center"/>
      <protection hidden="1"/>
    </xf>
    <xf numFmtId="10" fontId="8" fillId="0" borderId="0" xfId="3" applyNumberFormat="1" applyFont="1" applyAlignment="1" applyProtection="1">
      <alignment horizontal="left" vertical="center"/>
      <protection hidden="1"/>
    </xf>
    <xf numFmtId="0" fontId="8" fillId="0" borderId="0" xfId="1" applyFont="1" applyAlignment="1">
      <alignment vertical="center"/>
    </xf>
    <xf numFmtId="14" fontId="8" fillId="0" borderId="0" xfId="3" applyNumberFormat="1" applyFont="1" applyAlignment="1" applyProtection="1">
      <alignment vertical="center"/>
      <protection hidden="1"/>
    </xf>
    <xf numFmtId="0" fontId="8" fillId="0" borderId="0" xfId="1" applyFont="1" applyProtection="1">
      <protection hidden="1"/>
    </xf>
    <xf numFmtId="0" fontId="8" fillId="0" borderId="0" xfId="1" applyFont="1" applyAlignment="1" applyProtection="1">
      <alignment horizontal="right"/>
      <protection hidden="1"/>
    </xf>
    <xf numFmtId="0" fontId="7" fillId="0" borderId="0" xfId="3" applyFont="1" applyProtection="1">
      <protection hidden="1"/>
    </xf>
    <xf numFmtId="4" fontId="8" fillId="0" borderId="0" xfId="1" applyNumberFormat="1" applyFont="1" applyAlignment="1" applyProtection="1">
      <alignment horizontal="right"/>
      <protection hidden="1"/>
    </xf>
    <xf numFmtId="0" fontId="8" fillId="0" borderId="0" xfId="1" applyFont="1"/>
    <xf numFmtId="4" fontId="8" fillId="0" borderId="0" xfId="1" applyNumberFormat="1" applyFont="1" applyAlignment="1">
      <alignment horizontal="right"/>
    </xf>
    <xf numFmtId="4" fontId="8" fillId="5" borderId="5" xfId="1" applyNumberFormat="1" applyFont="1" applyFill="1" applyBorder="1" applyAlignment="1" applyProtection="1">
      <alignment horizontal="right"/>
      <protection locked="0"/>
    </xf>
    <xf numFmtId="4" fontId="8" fillId="5" borderId="6" xfId="1" applyNumberFormat="1" applyFont="1" applyFill="1" applyBorder="1" applyAlignment="1" applyProtection="1">
      <alignment horizontal="right"/>
      <protection locked="0"/>
    </xf>
    <xf numFmtId="4" fontId="8" fillId="5" borderId="7" xfId="1" applyNumberFormat="1" applyFont="1" applyFill="1" applyBorder="1" applyAlignment="1" applyProtection="1">
      <alignment horizontal="right"/>
      <protection locked="0"/>
    </xf>
    <xf numFmtId="4" fontId="8" fillId="0" borderId="0" xfId="1" applyNumberFormat="1" applyFont="1" applyProtection="1">
      <protection hidden="1"/>
    </xf>
    <xf numFmtId="0" fontId="8" fillId="0" borderId="0" xfId="1" quotePrefix="1" applyFont="1"/>
    <xf numFmtId="10" fontId="8" fillId="0" borderId="0" xfId="1" applyNumberFormat="1" applyFont="1" applyAlignment="1">
      <alignment horizontal="left"/>
    </xf>
    <xf numFmtId="0" fontId="8" fillId="6" borderId="0" xfId="1" applyFont="1" applyFill="1"/>
    <xf numFmtId="4" fontId="8" fillId="6" borderId="0" xfId="1" applyNumberFormat="1" applyFont="1" applyFill="1" applyAlignment="1">
      <alignment horizontal="right"/>
    </xf>
    <xf numFmtId="9" fontId="8" fillId="6" borderId="0" xfId="5" applyFont="1" applyFill="1" applyAlignment="1">
      <alignment horizontal="right"/>
    </xf>
    <xf numFmtId="4" fontId="8" fillId="6" borderId="0" xfId="1" applyNumberFormat="1" applyFont="1" applyFill="1" applyProtection="1">
      <protection hidden="1"/>
    </xf>
    <xf numFmtId="0" fontId="7" fillId="6" borderId="0" xfId="1" applyFont="1" applyFill="1"/>
    <xf numFmtId="4" fontId="7" fillId="6" borderId="0" xfId="1" applyNumberFormat="1" applyFont="1" applyFill="1" applyAlignment="1">
      <alignment horizontal="right"/>
    </xf>
    <xf numFmtId="4" fontId="30" fillId="0" borderId="0" xfId="1" applyNumberFormat="1" applyFont="1" applyAlignment="1">
      <alignment horizontal="right"/>
    </xf>
    <xf numFmtId="9" fontId="30" fillId="0" borderId="0" xfId="5" applyFont="1" applyAlignment="1">
      <alignment horizontal="right"/>
    </xf>
    <xf numFmtId="0" fontId="8" fillId="0" borderId="0" xfId="1" applyFont="1" applyAlignment="1">
      <alignment horizontal="right" vertical="center"/>
    </xf>
    <xf numFmtId="10" fontId="13" fillId="0" borderId="0" xfId="3" applyNumberFormat="1" applyFont="1" applyAlignment="1" applyProtection="1">
      <alignment horizontal="right" vertical="center"/>
      <protection hidden="1"/>
    </xf>
    <xf numFmtId="39" fontId="13" fillId="0" borderId="19" xfId="3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14" fontId="8" fillId="0" borderId="0" xfId="3" applyNumberFormat="1" applyFont="1" applyAlignment="1" applyProtection="1">
      <alignment horizontal="right"/>
      <protection hidden="1"/>
    </xf>
    <xf numFmtId="4" fontId="13" fillId="6" borderId="5" xfId="1" applyNumberFormat="1" applyFont="1" applyFill="1" applyBorder="1" applyAlignment="1" applyProtection="1">
      <alignment horizontal="right"/>
      <protection hidden="1"/>
    </xf>
    <xf numFmtId="4" fontId="13" fillId="6" borderId="6" xfId="1" applyNumberFormat="1" applyFont="1" applyFill="1" applyBorder="1" applyAlignment="1" applyProtection="1">
      <alignment horizontal="right"/>
      <protection hidden="1"/>
    </xf>
    <xf numFmtId="4" fontId="13" fillId="6" borderId="7" xfId="1" applyNumberFormat="1" applyFont="1" applyFill="1" applyBorder="1" applyAlignment="1" applyProtection="1">
      <alignment horizontal="right"/>
      <protection hidden="1"/>
    </xf>
    <xf numFmtId="0" fontId="27" fillId="0" borderId="0" xfId="7" applyBorder="1" applyAlignment="1"/>
    <xf numFmtId="0" fontId="0" fillId="0" borderId="0" xfId="0"/>
    <xf numFmtId="0" fontId="13" fillId="0" borderId="0" xfId="1" applyFont="1" applyAlignment="1">
      <alignment horizontal="left"/>
    </xf>
    <xf numFmtId="0" fontId="0" fillId="0" borderId="0" xfId="0"/>
    <xf numFmtId="0" fontId="13" fillId="0" borderId="0" xfId="1" applyFont="1" applyAlignment="1">
      <alignment horizontal="left"/>
    </xf>
    <xf numFmtId="0" fontId="0" fillId="0" borderId="0" xfId="0" applyFont="1"/>
    <xf numFmtId="0" fontId="0" fillId="0" borderId="0" xfId="0" applyAlignment="1"/>
    <xf numFmtId="0" fontId="27" fillId="0" borderId="0" xfId="7" applyAlignment="1"/>
    <xf numFmtId="0" fontId="0" fillId="0" borderId="0" xfId="0"/>
    <xf numFmtId="0" fontId="13" fillId="0" borderId="0" xfId="1" applyFont="1" applyAlignment="1">
      <alignment horizontal="left"/>
    </xf>
    <xf numFmtId="0" fontId="13" fillId="0" borderId="0" xfId="1" applyFont="1" applyProtection="1">
      <protection hidden="1"/>
    </xf>
    <xf numFmtId="14" fontId="13" fillId="0" borderId="0" xfId="3" applyNumberFormat="1" applyFont="1" applyAlignment="1" applyProtection="1">
      <alignment horizontal="right" vertical="center"/>
      <protection hidden="1"/>
    </xf>
    <xf numFmtId="0" fontId="0" fillId="0" borderId="0" xfId="0" applyFont="1"/>
    <xf numFmtId="14" fontId="8" fillId="5" borderId="12" xfId="4" applyNumberFormat="1" applyFont="1" applyFill="1" applyBorder="1" applyAlignment="1" applyProtection="1">
      <alignment horizontal="center"/>
      <protection locked="0"/>
    </xf>
    <xf numFmtId="14" fontId="8" fillId="5" borderId="15" xfId="4" applyNumberFormat="1" applyFont="1" applyFill="1" applyBorder="1" applyAlignment="1" applyProtection="1">
      <alignment horizontal="center"/>
      <protection locked="0"/>
    </xf>
    <xf numFmtId="2" fontId="8" fillId="5" borderId="12" xfId="4" applyNumberFormat="1" applyFont="1" applyFill="1" applyBorder="1" applyAlignment="1" applyProtection="1">
      <alignment horizontal="center"/>
      <protection locked="0"/>
    </xf>
    <xf numFmtId="2" fontId="8" fillId="5" borderId="15" xfId="4" applyNumberFormat="1" applyFont="1" applyFill="1" applyBorder="1" applyAlignment="1" applyProtection="1">
      <alignment horizontal="center"/>
      <protection locked="0"/>
    </xf>
    <xf numFmtId="49" fontId="8" fillId="5" borderId="12" xfId="4" applyNumberFormat="1" applyFont="1" applyFill="1" applyBorder="1" applyAlignment="1" applyProtection="1">
      <alignment horizontal="center"/>
      <protection locked="0"/>
    </xf>
    <xf numFmtId="49" fontId="8" fillId="5" borderId="15" xfId="4" applyNumberFormat="1" applyFont="1" applyFill="1" applyBorder="1" applyAlignment="1" applyProtection="1">
      <alignment horizontal="center"/>
      <protection locked="0"/>
    </xf>
    <xf numFmtId="4" fontId="8" fillId="5" borderId="13" xfId="4" applyNumberFormat="1" applyFont="1" applyFill="1" applyBorder="1" applyAlignment="1" applyProtection="1">
      <alignment horizontal="center"/>
      <protection locked="0"/>
    </xf>
    <xf numFmtId="4" fontId="8" fillId="5" borderId="16" xfId="4" applyNumberFormat="1" applyFont="1" applyFill="1" applyBorder="1" applyAlignment="1" applyProtection="1">
      <alignment horizontal="center"/>
      <protection locked="0"/>
    </xf>
    <xf numFmtId="9" fontId="13" fillId="5" borderId="9" xfId="3" applyNumberFormat="1" applyFont="1" applyFill="1" applyBorder="1" applyAlignment="1" applyProtection="1">
      <alignment horizontal="center" vertical="center"/>
      <protection locked="0"/>
    </xf>
    <xf numFmtId="9" fontId="13" fillId="5" borderId="12" xfId="3" applyNumberFormat="1" applyFont="1" applyFill="1" applyBorder="1" applyAlignment="1" applyProtection="1">
      <alignment horizontal="center" vertical="center"/>
      <protection locked="0"/>
    </xf>
    <xf numFmtId="0" fontId="13" fillId="5" borderId="12" xfId="1" applyFont="1" applyFill="1" applyBorder="1" applyAlignment="1" applyProtection="1">
      <alignment horizontal="center" vertical="center"/>
      <protection locked="0"/>
    </xf>
    <xf numFmtId="4" fontId="13" fillId="5" borderId="12" xfId="1" applyNumberFormat="1" applyFont="1" applyFill="1" applyBorder="1" applyAlignment="1" applyProtection="1">
      <alignment horizontal="center" vertical="center"/>
      <protection locked="0"/>
    </xf>
    <xf numFmtId="9" fontId="13" fillId="5" borderId="12" xfId="1" applyNumberFormat="1" applyFont="1" applyFill="1" applyBorder="1" applyAlignment="1" applyProtection="1">
      <alignment horizontal="center" vertical="center"/>
      <protection locked="0"/>
    </xf>
    <xf numFmtId="0" fontId="13" fillId="5" borderId="15" xfId="1" applyFont="1" applyFill="1" applyBorder="1" applyAlignment="1" applyProtection="1">
      <alignment horizontal="center" vertical="center"/>
      <protection locked="0"/>
    </xf>
    <xf numFmtId="4" fontId="13" fillId="5" borderId="15" xfId="1" applyNumberFormat="1" applyFont="1" applyFill="1" applyBorder="1" applyAlignment="1" applyProtection="1">
      <alignment horizontal="center" vertical="center"/>
      <protection locked="0"/>
    </xf>
    <xf numFmtId="9" fontId="13" fillId="5" borderId="15" xfId="1" applyNumberFormat="1" applyFont="1" applyFill="1" applyBorder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hidden="1"/>
    </xf>
    <xf numFmtId="39" fontId="13" fillId="0" borderId="0" xfId="3" applyNumberFormat="1" applyFont="1" applyAlignment="1" applyProtection="1">
      <alignment horizontal="center" vertical="center"/>
      <protection hidden="1"/>
    </xf>
    <xf numFmtId="4" fontId="13" fillId="0" borderId="0" xfId="1" applyNumberFormat="1" applyFont="1" applyAlignment="1" applyProtection="1">
      <alignment horizontal="center" vertical="center" wrapText="1"/>
      <protection hidden="1"/>
    </xf>
    <xf numFmtId="4" fontId="13" fillId="0" borderId="0" xfId="1" applyNumberFormat="1" applyFont="1" applyAlignment="1" applyProtection="1">
      <alignment horizontal="center" vertical="center"/>
      <protection hidden="1"/>
    </xf>
    <xf numFmtId="39" fontId="13" fillId="0" borderId="0" xfId="3" applyNumberFormat="1" applyFont="1" applyAlignment="1" applyProtection="1">
      <alignment horizontal="center" vertical="center" wrapText="1"/>
      <protection hidden="1"/>
    </xf>
    <xf numFmtId="0" fontId="14" fillId="0" borderId="0" xfId="3" applyFont="1" applyAlignment="1" applyProtection="1">
      <alignment horizontal="center" wrapText="1"/>
      <protection hidden="1"/>
    </xf>
    <xf numFmtId="0" fontId="0" fillId="3" borderId="0" xfId="0" applyFill="1"/>
    <xf numFmtId="0" fontId="27" fillId="3" borderId="0" xfId="7" applyFill="1"/>
    <xf numFmtId="39" fontId="13" fillId="5" borderId="9" xfId="1" applyNumberFormat="1" applyFont="1" applyFill="1" applyBorder="1" applyAlignment="1" applyProtection="1">
      <alignment horizontal="center"/>
      <protection locked="0"/>
    </xf>
    <xf numFmtId="39" fontId="13" fillId="5" borderId="10" xfId="1" applyNumberFormat="1" applyFont="1" applyFill="1" applyBorder="1" applyAlignment="1" applyProtection="1">
      <alignment horizontal="center"/>
      <protection locked="0"/>
    </xf>
    <xf numFmtId="39" fontId="13" fillId="5" borderId="12" xfId="1" applyNumberFormat="1" applyFont="1" applyFill="1" applyBorder="1" applyAlignment="1" applyProtection="1">
      <alignment horizontal="center"/>
      <protection locked="0"/>
    </xf>
    <xf numFmtId="39" fontId="13" fillId="5" borderId="13" xfId="1" applyNumberFormat="1" applyFont="1" applyFill="1" applyBorder="1" applyAlignment="1" applyProtection="1">
      <alignment horizontal="center"/>
      <protection locked="0"/>
    </xf>
    <xf numFmtId="39" fontId="13" fillId="5" borderId="15" xfId="1" applyNumberFormat="1" applyFont="1" applyFill="1" applyBorder="1" applyAlignment="1" applyProtection="1">
      <alignment horizontal="center"/>
      <protection locked="0"/>
    </xf>
    <xf numFmtId="39" fontId="13" fillId="5" borderId="16" xfId="1" applyNumberFormat="1" applyFont="1" applyFill="1" applyBorder="1" applyAlignment="1" applyProtection="1">
      <alignment horizontal="center"/>
      <protection locked="0"/>
    </xf>
    <xf numFmtId="9" fontId="13" fillId="5" borderId="5" xfId="8" applyFont="1" applyFill="1" applyBorder="1" applyAlignment="1" applyProtection="1">
      <alignment horizontal="center"/>
      <protection locked="0"/>
    </xf>
    <xf numFmtId="9" fontId="13" fillId="5" borderId="6" xfId="8" applyFont="1" applyFill="1" applyBorder="1" applyAlignment="1" applyProtection="1">
      <alignment horizontal="center"/>
      <protection locked="0"/>
    </xf>
    <xf numFmtId="9" fontId="13" fillId="5" borderId="7" xfId="8" applyFont="1" applyFill="1" applyBorder="1" applyAlignment="1" applyProtection="1">
      <alignment horizontal="center"/>
      <protection locked="0"/>
    </xf>
    <xf numFmtId="39" fontId="23" fillId="0" borderId="0" xfId="3" applyNumberFormat="1" applyFont="1" applyAlignment="1">
      <alignment horizontal="right" wrapText="1"/>
    </xf>
    <xf numFmtId="0" fontId="14" fillId="0" borderId="2" xfId="1" applyFont="1" applyBorder="1" applyAlignment="1" applyProtection="1">
      <alignment horizontal="center" vertical="center"/>
      <protection hidden="1"/>
    </xf>
    <xf numFmtId="39" fontId="14" fillId="0" borderId="2" xfId="1" applyNumberFormat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hidden="1"/>
    </xf>
    <xf numFmtId="49" fontId="8" fillId="5" borderId="9" xfId="3" applyNumberFormat="1" applyFont="1" applyFill="1" applyBorder="1" applyAlignment="1" applyProtection="1">
      <alignment horizontal="center"/>
      <protection locked="0"/>
    </xf>
    <xf numFmtId="49" fontId="8" fillId="5" borderId="12" xfId="3" applyNumberFormat="1" applyFont="1" applyFill="1" applyBorder="1" applyAlignment="1" applyProtection="1">
      <alignment horizontal="center"/>
      <protection locked="0"/>
    </xf>
    <xf numFmtId="49" fontId="8" fillId="5" borderId="15" xfId="3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 vertical="center"/>
    </xf>
    <xf numFmtId="0" fontId="8" fillId="0" borderId="0" xfId="3" quotePrefix="1" applyFont="1" applyAlignment="1">
      <alignment horizontal="left"/>
    </xf>
    <xf numFmtId="0" fontId="13" fillId="0" borderId="0" xfId="3" applyFont="1" applyAlignment="1">
      <alignment horizontal="left" wrapText="1"/>
    </xf>
    <xf numFmtId="0" fontId="8" fillId="5" borderId="12" xfId="4" applyNumberFormat="1" applyFont="1" applyFill="1" applyBorder="1" applyAlignment="1" applyProtection="1">
      <alignment horizontal="center"/>
      <protection locked="0"/>
    </xf>
    <xf numFmtId="0" fontId="8" fillId="5" borderId="15" xfId="4" applyNumberFormat="1" applyFont="1" applyFill="1" applyBorder="1" applyAlignment="1" applyProtection="1">
      <alignment horizontal="center"/>
      <protection locked="0"/>
    </xf>
    <xf numFmtId="4" fontId="8" fillId="5" borderId="12" xfId="4" applyNumberFormat="1" applyFont="1" applyFill="1" applyBorder="1" applyAlignment="1" applyProtection="1">
      <alignment horizontal="center"/>
      <protection locked="0"/>
    </xf>
    <xf numFmtId="4" fontId="8" fillId="5" borderId="15" xfId="4" applyNumberFormat="1" applyFont="1" applyFill="1" applyBorder="1" applyAlignment="1" applyProtection="1">
      <alignment horizontal="center"/>
      <protection locked="0"/>
    </xf>
    <xf numFmtId="0" fontId="33" fillId="3" borderId="0" xfId="1" applyFont="1" applyFill="1" applyAlignment="1">
      <alignment horizontal="left" vertical="center" wrapText="1"/>
    </xf>
    <xf numFmtId="10" fontId="8" fillId="0" borderId="0" xfId="3" applyNumberFormat="1" applyFont="1" applyAlignment="1" applyProtection="1">
      <alignment horizontal="left" vertical="center"/>
      <protection hidden="1"/>
    </xf>
    <xf numFmtId="0" fontId="0" fillId="0" borderId="0" xfId="0"/>
    <xf numFmtId="0" fontId="0" fillId="0" borderId="0" xfId="0" applyAlignment="1">
      <alignment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/>
    </xf>
    <xf numFmtId="4" fontId="13" fillId="5" borderId="12" xfId="3" applyNumberFormat="1" applyFont="1" applyFill="1" applyBorder="1" applyProtection="1">
      <protection locked="0"/>
    </xf>
    <xf numFmtId="4" fontId="13" fillId="5" borderId="15" xfId="3" applyNumberFormat="1" applyFont="1" applyFill="1" applyBorder="1" applyProtection="1">
      <protection locked="0"/>
    </xf>
    <xf numFmtId="4" fontId="14" fillId="6" borderId="0" xfId="1" applyNumberFormat="1" applyFont="1" applyFill="1" applyProtection="1">
      <protection hidden="1"/>
    </xf>
    <xf numFmtId="0" fontId="13" fillId="0" borderId="0" xfId="1" applyFont="1" applyProtection="1">
      <protection hidden="1"/>
    </xf>
    <xf numFmtId="0" fontId="0" fillId="0" borderId="0" xfId="0" applyFont="1"/>
    <xf numFmtId="0" fontId="33" fillId="3" borderId="0" xfId="1" applyFont="1" applyFill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4" fontId="13" fillId="5" borderId="12" xfId="3" applyNumberFormat="1" applyFont="1" applyFill="1" applyBorder="1" applyProtection="1">
      <protection locked="0"/>
    </xf>
    <xf numFmtId="4" fontId="13" fillId="5" borderId="15" xfId="3" applyNumberFormat="1" applyFont="1" applyFill="1" applyBorder="1" applyProtection="1">
      <protection locked="0"/>
    </xf>
    <xf numFmtId="4" fontId="13" fillId="5" borderId="9" xfId="3" applyNumberFormat="1" applyFont="1" applyFill="1" applyBorder="1" applyProtection="1">
      <protection locked="0"/>
    </xf>
    <xf numFmtId="14" fontId="13" fillId="0" borderId="0" xfId="3" applyNumberFormat="1" applyFont="1" applyAlignment="1" applyProtection="1">
      <alignment horizontal="right" vertical="center"/>
      <protection hidden="1"/>
    </xf>
    <xf numFmtId="4" fontId="0" fillId="0" borderId="0" xfId="0" applyNumberFormat="1" applyFont="1"/>
    <xf numFmtId="0" fontId="13" fillId="5" borderId="25" xfId="4" applyNumberFormat="1" applyFont="1" applyFill="1" applyBorder="1" applyAlignment="1" applyProtection="1">
      <alignment horizontal="center"/>
      <protection locked="0"/>
    </xf>
    <xf numFmtId="14" fontId="13" fillId="5" borderId="25" xfId="4" applyNumberFormat="1" applyFont="1" applyFill="1" applyBorder="1" applyAlignment="1" applyProtection="1">
      <alignment horizontal="center"/>
      <protection locked="0"/>
    </xf>
    <xf numFmtId="4" fontId="13" fillId="5" borderId="25" xfId="3" applyNumberFormat="1" applyFont="1" applyFill="1" applyBorder="1" applyAlignment="1" applyProtection="1">
      <alignment horizontal="center"/>
      <protection locked="0"/>
    </xf>
    <xf numFmtId="49" fontId="13" fillId="5" borderId="25" xfId="4" applyNumberFormat="1" applyFont="1" applyFill="1" applyBorder="1" applyAlignment="1" applyProtection="1">
      <alignment horizontal="center"/>
      <protection locked="0"/>
    </xf>
    <xf numFmtId="2" fontId="13" fillId="5" borderId="25" xfId="3" applyNumberFormat="1" applyFont="1" applyFill="1" applyBorder="1" applyAlignment="1" applyProtection="1">
      <alignment horizontal="center"/>
      <protection locked="0"/>
    </xf>
    <xf numFmtId="2" fontId="13" fillId="5" borderId="26" xfId="4" applyNumberFormat="1" applyFont="1" applyFill="1" applyBorder="1" applyAlignment="1" applyProtection="1">
      <alignment horizontal="center"/>
      <protection locked="0"/>
    </xf>
    <xf numFmtId="4" fontId="8" fillId="5" borderId="26" xfId="4" applyNumberFormat="1" applyFont="1" applyFill="1" applyBorder="1" applyAlignment="1" applyProtection="1">
      <alignment horizontal="center"/>
      <protection locked="0"/>
    </xf>
    <xf numFmtId="0" fontId="14" fillId="0" borderId="2" xfId="3" applyFont="1" applyBorder="1" applyAlignment="1" applyProtection="1">
      <alignment horizontal="center" vertical="center"/>
      <protection hidden="1"/>
    </xf>
    <xf numFmtId="39" fontId="14" fillId="0" borderId="2" xfId="3" applyNumberFormat="1" applyFont="1" applyBorder="1" applyAlignment="1" applyProtection="1">
      <alignment horizontal="center" vertical="center"/>
      <protection hidden="1"/>
    </xf>
    <xf numFmtId="4" fontId="14" fillId="0" borderId="2" xfId="1" applyNumberFormat="1" applyFont="1" applyBorder="1" applyAlignment="1" applyProtection="1">
      <alignment horizontal="center" vertical="center"/>
      <protection hidden="1"/>
    </xf>
    <xf numFmtId="4" fontId="14" fillId="0" borderId="2" xfId="1" applyNumberFormat="1" applyFont="1" applyBorder="1" applyAlignment="1" applyProtection="1">
      <alignment horizontal="center" vertical="center" wrapText="1"/>
      <protection hidden="1"/>
    </xf>
    <xf numFmtId="4" fontId="14" fillId="0" borderId="2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39" xfId="3" applyNumberFormat="1" applyFont="1" applyBorder="1" applyAlignment="1" applyProtection="1">
      <alignment horizontal="center" vertical="center"/>
      <protection hidden="1"/>
    </xf>
    <xf numFmtId="4" fontId="13" fillId="0" borderId="0" xfId="3" applyNumberFormat="1" applyFont="1" applyBorder="1" applyAlignment="1" applyProtection="1">
      <alignment horizontal="center" vertical="center"/>
      <protection hidden="1"/>
    </xf>
    <xf numFmtId="9" fontId="13" fillId="5" borderId="15" xfId="3" applyNumberFormat="1" applyFont="1" applyFill="1" applyBorder="1" applyAlignment="1" applyProtection="1">
      <alignment horizontal="center" vertical="center"/>
      <protection locked="0"/>
    </xf>
    <xf numFmtId="4" fontId="13" fillId="0" borderId="40" xfId="3" applyNumberFormat="1" applyFont="1" applyBorder="1" applyAlignment="1" applyProtection="1">
      <alignment horizontal="center" vertical="center"/>
      <protection hidden="1"/>
    </xf>
    <xf numFmtId="4" fontId="14" fillId="6" borderId="2" xfId="1" applyNumberFormat="1" applyFont="1" applyFill="1" applyBorder="1" applyAlignment="1" applyProtection="1">
      <alignment horizontal="right"/>
      <protection hidden="1"/>
    </xf>
    <xf numFmtId="4" fontId="13" fillId="5" borderId="47" xfId="1" applyNumberFormat="1" applyFont="1" applyFill="1" applyBorder="1" applyAlignment="1" applyProtection="1">
      <alignment horizontal="right"/>
      <protection locked="0" hidden="1"/>
    </xf>
    <xf numFmtId="4" fontId="14" fillId="6" borderId="3" xfId="1" applyNumberFormat="1" applyFont="1" applyFill="1" applyBorder="1" applyAlignment="1" applyProtection="1">
      <alignment horizontal="right"/>
      <protection hidden="1"/>
    </xf>
    <xf numFmtId="4" fontId="14" fillId="6" borderId="2" xfId="5" applyNumberFormat="1" applyFont="1" applyFill="1" applyBorder="1" applyAlignment="1" applyProtection="1">
      <alignment horizontal="center"/>
      <protection hidden="1"/>
    </xf>
    <xf numFmtId="4" fontId="13" fillId="5" borderId="47" xfId="1" applyNumberFormat="1" applyFont="1" applyFill="1" applyBorder="1" applyAlignment="1" applyProtection="1">
      <alignment horizontal="center"/>
      <protection locked="0" hidden="1"/>
    </xf>
    <xf numFmtId="4" fontId="14" fillId="6" borderId="3" xfId="5" applyNumberFormat="1" applyFont="1" applyFill="1" applyBorder="1" applyAlignment="1" applyProtection="1">
      <alignment horizontal="center"/>
      <protection hidden="1"/>
    </xf>
    <xf numFmtId="0" fontId="30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5" applyNumberFormat="1" applyFont="1" applyAlignment="1" applyProtection="1">
      <alignment horizontal="center" vertical="center"/>
      <protection hidden="1"/>
    </xf>
    <xf numFmtId="0" fontId="8" fillId="0" borderId="0" xfId="5" applyNumberFormat="1" applyFont="1" applyAlignment="1">
      <alignment horizontal="center" vertical="center"/>
    </xf>
    <xf numFmtId="4" fontId="8" fillId="0" borderId="0" xfId="5" applyNumberFormat="1" applyFont="1" applyAlignment="1">
      <alignment horizontal="center" vertical="center"/>
    </xf>
    <xf numFmtId="9" fontId="30" fillId="0" borderId="0" xfId="5" applyFont="1" applyAlignment="1">
      <alignment horizontal="center" vertical="center"/>
    </xf>
    <xf numFmtId="39" fontId="5" fillId="0" borderId="45" xfId="3" applyNumberFormat="1" applyFont="1" applyBorder="1" applyAlignment="1" applyProtection="1">
      <alignment horizontal="center" vertical="center" wrapText="1"/>
      <protection hidden="1"/>
    </xf>
    <xf numFmtId="39" fontId="5" fillId="0" borderId="40" xfId="3" applyNumberFormat="1" applyFont="1" applyBorder="1" applyProtection="1">
      <protection hidden="1"/>
    </xf>
    <xf numFmtId="39" fontId="5" fillId="0" borderId="46" xfId="3" applyNumberFormat="1" applyFont="1" applyBorder="1" applyAlignment="1" applyProtection="1">
      <alignment horizontal="center" vertical="center" wrapText="1"/>
      <protection hidden="1"/>
    </xf>
    <xf numFmtId="9" fontId="8" fillId="5" borderId="21" xfId="1" applyNumberFormat="1" applyFont="1" applyFill="1" applyBorder="1" applyAlignment="1" applyProtection="1">
      <alignment horizontal="right" vertical="center"/>
      <protection locked="0"/>
    </xf>
    <xf numFmtId="9" fontId="8" fillId="3" borderId="22" xfId="1" applyNumberFormat="1" applyFont="1" applyFill="1" applyBorder="1" applyAlignment="1" applyProtection="1">
      <alignment horizontal="right" vertical="center"/>
    </xf>
    <xf numFmtId="9" fontId="8" fillId="0" borderId="42" xfId="5" applyFont="1" applyBorder="1" applyAlignment="1">
      <alignment horizontal="right" vertical="center"/>
    </xf>
    <xf numFmtId="9" fontId="8" fillId="0" borderId="23" xfId="5" applyFont="1" applyBorder="1" applyAlignment="1">
      <alignment horizontal="right" vertical="center"/>
    </xf>
    <xf numFmtId="9" fontId="7" fillId="6" borderId="45" xfId="5" applyFont="1" applyFill="1" applyBorder="1" applyAlignment="1">
      <alignment horizontal="right" vertical="center"/>
    </xf>
    <xf numFmtId="4" fontId="8" fillId="0" borderId="44" xfId="1" applyNumberFormat="1" applyFont="1" applyBorder="1" applyAlignment="1" applyProtection="1">
      <alignment vertical="center"/>
      <protection hidden="1"/>
    </xf>
    <xf numFmtId="4" fontId="8" fillId="5" borderId="48" xfId="1" applyNumberFormat="1" applyFont="1" applyFill="1" applyBorder="1" applyAlignment="1" applyProtection="1">
      <alignment horizontal="right" vertical="center"/>
      <protection locked="0" hidden="1"/>
    </xf>
    <xf numFmtId="4" fontId="7" fillId="6" borderId="46" xfId="1" applyNumberFormat="1" applyFont="1" applyFill="1" applyBorder="1" applyAlignment="1" applyProtection="1">
      <alignment vertical="center"/>
      <protection hidden="1"/>
    </xf>
    <xf numFmtId="4" fontId="0" fillId="0" borderId="2" xfId="0" applyNumberFormat="1" applyFont="1" applyBorder="1"/>
    <xf numFmtId="4" fontId="0" fillId="0" borderId="47" xfId="0" applyNumberFormat="1" applyFont="1" applyBorder="1"/>
    <xf numFmtId="4" fontId="0" fillId="0" borderId="3" xfId="0" applyNumberFormat="1" applyFont="1" applyBorder="1"/>
    <xf numFmtId="0" fontId="0" fillId="0" borderId="0" xfId="0" applyAlignment="1">
      <alignment horizontal="center" vertical="center"/>
    </xf>
    <xf numFmtId="0" fontId="13" fillId="0" borderId="45" xfId="1" applyFont="1" applyBorder="1" applyProtection="1">
      <protection hidden="1"/>
    </xf>
    <xf numFmtId="0" fontId="13" fillId="0" borderId="40" xfId="1" applyFont="1" applyBorder="1" applyAlignment="1" applyProtection="1">
      <alignment horizontal="right"/>
      <protection hidden="1"/>
    </xf>
    <xf numFmtId="0" fontId="13" fillId="0" borderId="46" xfId="1" applyFont="1" applyBorder="1" applyAlignment="1" applyProtection="1">
      <alignment horizontal="center"/>
      <protection hidden="1"/>
    </xf>
    <xf numFmtId="0" fontId="13" fillId="0" borderId="45" xfId="1" applyFont="1" applyBorder="1" applyAlignment="1" applyProtection="1">
      <alignment horizontal="right"/>
      <protection hidden="1"/>
    </xf>
    <xf numFmtId="0" fontId="13" fillId="0" borderId="40" xfId="1" applyFont="1" applyBorder="1" applyAlignment="1" applyProtection="1">
      <alignment horizontal="center"/>
      <protection hidden="1"/>
    </xf>
    <xf numFmtId="4" fontId="36" fillId="5" borderId="25" xfId="3" applyNumberFormat="1" applyFont="1" applyFill="1" applyBorder="1" applyProtection="1">
      <protection locked="0"/>
    </xf>
    <xf numFmtId="4" fontId="36" fillId="5" borderId="26" xfId="3" applyNumberFormat="1" applyFont="1" applyFill="1" applyBorder="1" applyProtection="1">
      <protection locked="0"/>
    </xf>
    <xf numFmtId="4" fontId="14" fillId="8" borderId="4" xfId="3" applyNumberFormat="1" applyFont="1" applyFill="1" applyBorder="1" applyProtection="1">
      <protection hidden="1"/>
    </xf>
    <xf numFmtId="4" fontId="14" fillId="6" borderId="1" xfId="1" applyNumberFormat="1" applyFont="1" applyFill="1" applyBorder="1" applyProtection="1">
      <protection hidden="1"/>
    </xf>
    <xf numFmtId="0" fontId="0" fillId="0" borderId="0" xfId="0" applyAlignment="1"/>
    <xf numFmtId="0" fontId="27" fillId="0" borderId="0" xfId="7" applyAlignment="1"/>
    <xf numFmtId="0" fontId="33" fillId="3" borderId="0" xfId="1" applyFont="1" applyFill="1" applyAlignment="1">
      <alignment horizontal="left" vertical="center" wrapText="1"/>
    </xf>
    <xf numFmtId="0" fontId="0" fillId="0" borderId="0" xfId="0"/>
    <xf numFmtId="14" fontId="13" fillId="0" borderId="0" xfId="3" applyNumberFormat="1" applyFont="1" applyAlignment="1" applyProtection="1">
      <alignment horizontal="right" vertical="center"/>
      <protection hidden="1"/>
    </xf>
    <xf numFmtId="0" fontId="1" fillId="0" borderId="0" xfId="0" applyFont="1" applyAlignment="1">
      <alignment horizontal="left"/>
    </xf>
    <xf numFmtId="0" fontId="13" fillId="5" borderId="30" xfId="3" applyFont="1" applyFill="1" applyBorder="1" applyAlignment="1" applyProtection="1">
      <alignment horizontal="left"/>
      <protection locked="0"/>
    </xf>
    <xf numFmtId="0" fontId="13" fillId="5" borderId="33" xfId="3" applyFont="1" applyFill="1" applyBorder="1" applyAlignment="1" applyProtection="1">
      <alignment horizontal="left"/>
      <protection locked="0"/>
    </xf>
    <xf numFmtId="0" fontId="13" fillId="5" borderId="36" xfId="3" applyFont="1" applyFill="1" applyBorder="1" applyAlignment="1" applyProtection="1">
      <alignment horizontal="left"/>
      <protection locked="0"/>
    </xf>
    <xf numFmtId="4" fontId="13" fillId="0" borderId="48" xfId="3" applyNumberFormat="1" applyFont="1" applyBorder="1" applyProtection="1">
      <protection hidden="1"/>
    </xf>
    <xf numFmtId="0" fontId="13" fillId="0" borderId="0" xfId="1" applyFont="1" applyBorder="1"/>
    <xf numFmtId="4" fontId="13" fillId="0" borderId="0" xfId="1" applyNumberFormat="1" applyFont="1" applyBorder="1" applyAlignment="1">
      <alignment horizontal="right"/>
    </xf>
    <xf numFmtId="9" fontId="13" fillId="0" borderId="48" xfId="5" applyFont="1" applyBorder="1" applyAlignment="1" applyProtection="1">
      <alignment horizontal="right"/>
      <protection hidden="1"/>
    </xf>
    <xf numFmtId="4" fontId="14" fillId="6" borderId="0" xfId="1" applyNumberFormat="1" applyFont="1" applyFill="1" applyBorder="1" applyProtection="1">
      <protection hidden="1"/>
    </xf>
    <xf numFmtId="4" fontId="14" fillId="6" borderId="48" xfId="1" applyNumberFormat="1" applyFont="1" applyFill="1" applyBorder="1" applyProtection="1">
      <protection hidden="1"/>
    </xf>
    <xf numFmtId="0" fontId="13" fillId="0" borderId="23" xfId="1" applyFont="1" applyBorder="1" applyProtection="1">
      <protection hidden="1"/>
    </xf>
    <xf numFmtId="0" fontId="13" fillId="0" borderId="0" xfId="1" applyFont="1" applyBorder="1" applyProtection="1">
      <protection hidden="1"/>
    </xf>
    <xf numFmtId="0" fontId="13" fillId="0" borderId="0" xfId="1" applyFont="1" applyBorder="1" applyAlignment="1" applyProtection="1">
      <alignment horizontal="right"/>
      <protection hidden="1"/>
    </xf>
    <xf numFmtId="0" fontId="13" fillId="0" borderId="48" xfId="1" applyFont="1" applyBorder="1" applyAlignment="1" applyProtection="1">
      <alignment horizontal="right"/>
      <protection hidden="1"/>
    </xf>
    <xf numFmtId="4" fontId="13" fillId="0" borderId="0" xfId="1" applyNumberFormat="1" applyFont="1" applyBorder="1" applyAlignment="1" applyProtection="1">
      <alignment horizontal="right"/>
      <protection hidden="1"/>
    </xf>
    <xf numFmtId="4" fontId="14" fillId="6" borderId="40" xfId="1" applyNumberFormat="1" applyFont="1" applyFill="1" applyBorder="1" applyProtection="1">
      <protection hidden="1"/>
    </xf>
    <xf numFmtId="4" fontId="14" fillId="6" borderId="46" xfId="1" applyNumberFormat="1" applyFont="1" applyFill="1" applyBorder="1" applyProtection="1">
      <protection hidden="1"/>
    </xf>
    <xf numFmtId="39" fontId="36" fillId="0" borderId="23" xfId="3" applyNumberFormat="1" applyFont="1" applyBorder="1" applyAlignment="1" applyProtection="1">
      <alignment horizontal="right"/>
      <protection hidden="1"/>
    </xf>
    <xf numFmtId="14" fontId="36" fillId="0" borderId="0" xfId="3" applyNumberFormat="1" applyFont="1" applyBorder="1" applyAlignment="1" applyProtection="1">
      <alignment horizontal="left"/>
      <protection hidden="1"/>
    </xf>
    <xf numFmtId="39" fontId="36" fillId="0" borderId="0" xfId="3" applyNumberFormat="1" applyFont="1" applyBorder="1" applyAlignment="1" applyProtection="1">
      <alignment horizontal="center"/>
      <protection hidden="1"/>
    </xf>
    <xf numFmtId="14" fontId="36" fillId="0" borderId="48" xfId="3" applyNumberFormat="1" applyFont="1" applyBorder="1" applyAlignment="1" applyProtection="1">
      <alignment horizontal="right"/>
      <protection hidden="1"/>
    </xf>
    <xf numFmtId="39" fontId="37" fillId="0" borderId="23" xfId="3" applyNumberFormat="1" applyFont="1" applyBorder="1" applyAlignment="1" applyProtection="1">
      <alignment horizontal="right"/>
      <protection hidden="1"/>
    </xf>
    <xf numFmtId="39" fontId="36" fillId="0" borderId="0" xfId="3" applyNumberFormat="1" applyFont="1" applyBorder="1" applyAlignment="1" applyProtection="1">
      <alignment horizontal="center" wrapText="1"/>
      <protection hidden="1"/>
    </xf>
    <xf numFmtId="14" fontId="36" fillId="0" borderId="0" xfId="3" applyNumberFormat="1" applyFont="1" applyBorder="1" applyAlignment="1" applyProtection="1">
      <alignment horizontal="right" wrapText="1"/>
      <protection hidden="1"/>
    </xf>
    <xf numFmtId="9" fontId="13" fillId="0" borderId="0" xfId="5" applyFont="1" applyBorder="1" applyAlignment="1" applyProtection="1">
      <alignment horizontal="right"/>
      <protection hidden="1"/>
    </xf>
    <xf numFmtId="4" fontId="13" fillId="5" borderId="12" xfId="3" applyNumberFormat="1" applyFont="1" applyFill="1" applyBorder="1" applyProtection="1">
      <protection hidden="1"/>
    </xf>
    <xf numFmtId="4" fontId="13" fillId="0" borderId="47" xfId="3" applyNumberFormat="1" applyFont="1" applyBorder="1" applyProtection="1">
      <protection hidden="1"/>
    </xf>
    <xf numFmtId="9" fontId="13" fillId="0" borderId="47" xfId="5" applyFont="1" applyBorder="1" applyAlignment="1" applyProtection="1">
      <alignment horizontal="right"/>
      <protection hidden="1"/>
    </xf>
    <xf numFmtId="4" fontId="14" fillId="6" borderId="47" xfId="1" applyNumberFormat="1" applyFont="1" applyFill="1" applyBorder="1" applyProtection="1">
      <protection hidden="1"/>
    </xf>
    <xf numFmtId="0" fontId="13" fillId="0" borderId="47" xfId="1" applyFont="1" applyBorder="1" applyAlignment="1" applyProtection="1">
      <alignment horizontal="right"/>
      <protection hidden="1"/>
    </xf>
    <xf numFmtId="14" fontId="14" fillId="0" borderId="47" xfId="3" applyNumberFormat="1" applyFont="1" applyBorder="1" applyAlignment="1" applyProtection="1">
      <alignment horizontal="right"/>
      <protection hidden="1"/>
    </xf>
    <xf numFmtId="4" fontId="14" fillId="6" borderId="3" xfId="1" applyNumberFormat="1" applyFont="1" applyFill="1" applyBorder="1" applyProtection="1">
      <protection hidden="1"/>
    </xf>
    <xf numFmtId="14" fontId="38" fillId="0" borderId="48" xfId="0" applyNumberFormat="1" applyFont="1" applyBorder="1"/>
    <xf numFmtId="2" fontId="0" fillId="0" borderId="48" xfId="0" applyNumberFormat="1" applyBorder="1"/>
    <xf numFmtId="2" fontId="1" fillId="8" borderId="48" xfId="0" applyNumberFormat="1" applyFont="1" applyFill="1" applyBorder="1"/>
    <xf numFmtId="2" fontId="1" fillId="8" borderId="46" xfId="0" applyNumberFormat="1" applyFont="1" applyFill="1" applyBorder="1"/>
    <xf numFmtId="4" fontId="13" fillId="5" borderId="9" xfId="3" applyNumberFormat="1" applyFont="1" applyFill="1" applyBorder="1" applyProtection="1">
      <protection hidden="1"/>
    </xf>
    <xf numFmtId="4" fontId="13" fillId="5" borderId="15" xfId="3" applyNumberFormat="1" applyFont="1" applyFill="1" applyBorder="1" applyProtection="1">
      <protection hidden="1"/>
    </xf>
    <xf numFmtId="0" fontId="13" fillId="5" borderId="24" xfId="1" applyFont="1" applyFill="1" applyBorder="1" applyProtection="1"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49" xfId="1" applyFont="1" applyFill="1" applyBorder="1" applyAlignment="1" applyProtection="1">
      <alignment horizontal="center"/>
      <protection locked="0"/>
    </xf>
    <xf numFmtId="39" fontId="13" fillId="5" borderId="25" xfId="1" applyNumberFormat="1" applyFont="1" applyFill="1" applyBorder="1" applyAlignment="1" applyProtection="1">
      <alignment horizontal="center"/>
      <protection locked="0"/>
    </xf>
    <xf numFmtId="39" fontId="13" fillId="5" borderId="26" xfId="1" applyNumberFormat="1" applyFont="1" applyFill="1" applyBorder="1" applyAlignment="1" applyProtection="1">
      <alignment horizontal="center"/>
      <protection locked="0"/>
    </xf>
    <xf numFmtId="0" fontId="13" fillId="5" borderId="25" xfId="4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8" fillId="5" borderId="12" xfId="4" applyFont="1" applyFill="1" applyBorder="1" applyAlignment="1" applyProtection="1">
      <alignment horizontal="center"/>
      <protection locked="0"/>
    </xf>
    <xf numFmtId="0" fontId="8" fillId="5" borderId="15" xfId="4" applyFont="1" applyFill="1" applyBorder="1" applyAlignment="1" applyProtection="1">
      <alignment horizontal="center"/>
      <protection locked="0"/>
    </xf>
    <xf numFmtId="4" fontId="13" fillId="0" borderId="0" xfId="3" applyNumberFormat="1" applyFont="1" applyBorder="1" applyAlignment="1" applyProtection="1">
      <alignment horizontal="right"/>
      <protection hidden="1"/>
    </xf>
    <xf numFmtId="4" fontId="13" fillId="0" borderId="48" xfId="1" applyNumberFormat="1" applyFont="1" applyBorder="1" applyAlignment="1" applyProtection="1">
      <alignment horizontal="right"/>
      <protection hidden="1"/>
    </xf>
    <xf numFmtId="4" fontId="13" fillId="0" borderId="40" xfId="3" applyNumberFormat="1" applyFont="1" applyBorder="1" applyAlignment="1" applyProtection="1">
      <alignment horizontal="right"/>
      <protection hidden="1"/>
    </xf>
    <xf numFmtId="4" fontId="13" fillId="0" borderId="46" xfId="1" applyNumberFormat="1" applyFont="1" applyBorder="1" applyAlignment="1" applyProtection="1">
      <alignment horizontal="right"/>
      <protection hidden="1"/>
    </xf>
    <xf numFmtId="0" fontId="13" fillId="0" borderId="22" xfId="1" applyFont="1" applyBorder="1" applyAlignment="1" applyProtection="1">
      <alignment horizontal="center" vertical="center"/>
      <protection hidden="1"/>
    </xf>
    <xf numFmtId="0" fontId="14" fillId="0" borderId="0" xfId="3" applyNumberFormat="1" applyFont="1" applyProtection="1">
      <protection hidden="1"/>
    </xf>
    <xf numFmtId="0" fontId="14" fillId="0" borderId="0" xfId="3" applyNumberFormat="1" applyFont="1" applyAlignment="1" applyProtection="1">
      <alignment horizontal="left"/>
      <protection hidden="1"/>
    </xf>
    <xf numFmtId="4" fontId="13" fillId="5" borderId="9" xfId="1" applyNumberFormat="1" applyFont="1" applyFill="1" applyBorder="1" applyAlignment="1" applyProtection="1">
      <alignment horizontal="center"/>
      <protection locked="0"/>
    </xf>
    <xf numFmtId="2" fontId="13" fillId="5" borderId="12" xfId="3" applyNumberFormat="1" applyFont="1" applyFill="1" applyBorder="1" applyAlignment="1" applyProtection="1">
      <alignment horizontal="right"/>
      <protection locked="0"/>
    </xf>
    <xf numFmtId="4" fontId="13" fillId="0" borderId="12" xfId="3" applyNumberFormat="1" applyFont="1" applyBorder="1" applyAlignment="1" applyProtection="1">
      <alignment horizontal="center"/>
      <protection hidden="1"/>
    </xf>
    <xf numFmtId="1" fontId="13" fillId="5" borderId="12" xfId="3" applyNumberFormat="1" applyFont="1" applyFill="1" applyBorder="1" applyAlignment="1" applyProtection="1">
      <alignment horizontal="right"/>
      <protection locked="0"/>
    </xf>
    <xf numFmtId="2" fontId="13" fillId="5" borderId="9" xfId="3" applyNumberFormat="1" applyFont="1" applyFill="1" applyBorder="1" applyAlignment="1" applyProtection="1">
      <alignment horizontal="right"/>
      <protection locked="0"/>
    </xf>
    <xf numFmtId="1" fontId="13" fillId="5" borderId="15" xfId="3" applyNumberFormat="1" applyFont="1" applyFill="1" applyBorder="1" applyAlignment="1" applyProtection="1">
      <alignment horizontal="right"/>
      <protection locked="0"/>
    </xf>
    <xf numFmtId="4" fontId="13" fillId="0" borderId="15" xfId="3" applyNumberFormat="1" applyFont="1" applyBorder="1" applyAlignment="1" applyProtection="1">
      <alignment horizontal="center"/>
      <protection hidden="1"/>
    </xf>
    <xf numFmtId="4" fontId="13" fillId="5" borderId="12" xfId="1" applyNumberFormat="1" applyFont="1" applyFill="1" applyBorder="1" applyAlignment="1" applyProtection="1">
      <alignment horizontal="center"/>
      <protection locked="0"/>
    </xf>
    <xf numFmtId="9" fontId="36" fillId="0" borderId="0" xfId="8" applyFont="1" applyBorder="1" applyAlignment="1" applyProtection="1">
      <alignment horizontal="center" vertical="center"/>
      <protection hidden="1"/>
    </xf>
    <xf numFmtId="14" fontId="14" fillId="0" borderId="47" xfId="3" applyNumberFormat="1" applyFont="1" applyBorder="1" applyAlignment="1" applyProtection="1">
      <alignment horizontal="center" vertical="center"/>
      <protection hidden="1"/>
    </xf>
    <xf numFmtId="4" fontId="13" fillId="5" borderId="15" xfId="1" applyNumberFormat="1" applyFont="1" applyFill="1" applyBorder="1" applyAlignment="1" applyProtection="1">
      <alignment horizontal="center"/>
      <protection locked="0"/>
    </xf>
    <xf numFmtId="0" fontId="14" fillId="0" borderId="40" xfId="1" applyNumberFormat="1" applyFont="1" applyBorder="1" applyAlignment="1" applyProtection="1">
      <alignment horizontal="center" vertical="center"/>
      <protection hidden="1"/>
    </xf>
    <xf numFmtId="0" fontId="14" fillId="0" borderId="46" xfId="1" applyNumberFormat="1" applyFont="1" applyBorder="1" applyAlignment="1" applyProtection="1">
      <alignment horizontal="center" vertical="center"/>
      <protection hidden="1"/>
    </xf>
    <xf numFmtId="4" fontId="8" fillId="0" borderId="0" xfId="4" applyNumberFormat="1" applyFont="1" applyBorder="1" applyAlignment="1" applyProtection="1">
      <alignment horizontal="center"/>
      <protection hidden="1"/>
    </xf>
    <xf numFmtId="4" fontId="8" fillId="0" borderId="40" xfId="4" applyNumberFormat="1" applyFont="1" applyBorder="1" applyAlignment="1" applyProtection="1">
      <alignment horizontal="center"/>
      <protection hidden="1"/>
    </xf>
    <xf numFmtId="10" fontId="13" fillId="0" borderId="0" xfId="3" applyNumberFormat="1" applyFont="1" applyBorder="1" applyAlignment="1" applyProtection="1">
      <alignment horizontal="center" vertical="center" wrapText="1"/>
      <protection hidden="1"/>
    </xf>
    <xf numFmtId="0" fontId="0" fillId="0" borderId="0" xfId="0" applyFont="1"/>
    <xf numFmtId="0" fontId="13" fillId="5" borderId="12" xfId="3" applyNumberFormat="1" applyFont="1" applyFill="1" applyBorder="1" applyAlignment="1" applyProtection="1">
      <alignment horizontal="right"/>
      <protection locked="0"/>
    </xf>
    <xf numFmtId="0" fontId="13" fillId="5" borderId="15" xfId="3" applyNumberFormat="1" applyFont="1" applyFill="1" applyBorder="1" applyAlignment="1" applyProtection="1">
      <alignment horizontal="right"/>
      <protection locked="0"/>
    </xf>
    <xf numFmtId="4" fontId="13" fillId="0" borderId="13" xfId="3" applyNumberFormat="1" applyFont="1" applyBorder="1" applyAlignment="1" applyProtection="1">
      <alignment horizontal="center"/>
      <protection hidden="1"/>
    </xf>
    <xf numFmtId="4" fontId="13" fillId="0" borderId="16" xfId="3" applyNumberFormat="1" applyFont="1" applyBorder="1" applyAlignment="1" applyProtection="1">
      <alignment horizontal="center"/>
      <protection hidden="1"/>
    </xf>
    <xf numFmtId="4" fontId="13" fillId="0" borderId="25" xfId="3" applyNumberFormat="1" applyFont="1" applyBorder="1" applyAlignment="1" applyProtection="1">
      <alignment horizontal="center"/>
      <protection hidden="1"/>
    </xf>
    <xf numFmtId="4" fontId="13" fillId="0" borderId="26" xfId="3" applyNumberFormat="1" applyFont="1" applyBorder="1" applyAlignment="1" applyProtection="1">
      <alignment horizontal="center"/>
      <protection hidden="1"/>
    </xf>
    <xf numFmtId="0" fontId="19" fillId="0" borderId="0" xfId="1" applyFont="1" applyBorder="1" applyProtection="1">
      <protection hidden="1"/>
    </xf>
    <xf numFmtId="0" fontId="19" fillId="0" borderId="0" xfId="1" applyFont="1" applyBorder="1" applyAlignment="1" applyProtection="1">
      <alignment horizontal="right"/>
      <protection hidden="1"/>
    </xf>
    <xf numFmtId="0" fontId="0" fillId="0" borderId="48" xfId="0" applyBorder="1"/>
    <xf numFmtId="0" fontId="19" fillId="0" borderId="2" xfId="1" applyFont="1" applyBorder="1" applyProtection="1">
      <protection hidden="1"/>
    </xf>
    <xf numFmtId="4" fontId="13" fillId="0" borderId="66" xfId="1" applyNumberFormat="1" applyFont="1" applyBorder="1" applyAlignment="1" applyProtection="1">
      <alignment horizontal="right"/>
      <protection hidden="1"/>
    </xf>
    <xf numFmtId="4" fontId="13" fillId="0" borderId="6" xfId="1" applyNumberFormat="1" applyFont="1" applyBorder="1" applyAlignment="1" applyProtection="1">
      <alignment horizontal="right"/>
      <protection hidden="1"/>
    </xf>
    <xf numFmtId="4" fontId="13" fillId="0" borderId="7" xfId="1" applyNumberFormat="1" applyFont="1" applyBorder="1" applyAlignment="1" applyProtection="1">
      <alignment horizontal="right"/>
      <protection hidden="1"/>
    </xf>
    <xf numFmtId="0" fontId="13" fillId="0" borderId="0" xfId="1" applyFont="1" applyAlignment="1" applyProtection="1">
      <alignment horizontal="right" vertical="center" wrapText="1"/>
      <protection hidden="1"/>
    </xf>
    <xf numFmtId="10" fontId="13" fillId="0" borderId="0" xfId="3" applyNumberFormat="1" applyFont="1" applyBorder="1" applyAlignment="1" applyProtection="1">
      <alignment vertical="center" wrapText="1"/>
      <protection hidden="1"/>
    </xf>
    <xf numFmtId="10" fontId="13" fillId="0" borderId="0" xfId="3" applyNumberFormat="1" applyFont="1" applyBorder="1" applyAlignment="1" applyProtection="1">
      <alignment horizontal="left" vertical="center" wrapText="1"/>
      <protection hidden="1"/>
    </xf>
    <xf numFmtId="4" fontId="13" fillId="0" borderId="2" xfId="3" applyNumberFormat="1" applyFont="1" applyBorder="1" applyProtection="1">
      <protection hidden="1"/>
    </xf>
    <xf numFmtId="4" fontId="13" fillId="0" borderId="3" xfId="3" applyNumberFormat="1" applyFont="1" applyBorder="1" applyProtection="1">
      <protection hidden="1"/>
    </xf>
    <xf numFmtId="4" fontId="36" fillId="5" borderId="64" xfId="3" applyNumberFormat="1" applyFont="1" applyFill="1" applyBorder="1" applyProtection="1">
      <protection locked="0"/>
    </xf>
    <xf numFmtId="4" fontId="13" fillId="5" borderId="50" xfId="3" applyNumberFormat="1" applyFont="1" applyFill="1" applyBorder="1" applyProtection="1">
      <protection locked="0"/>
    </xf>
    <xf numFmtId="4" fontId="13" fillId="5" borderId="54" xfId="3" applyNumberFormat="1" applyFont="1" applyFill="1" applyBorder="1" applyProtection="1">
      <protection locked="0"/>
    </xf>
    <xf numFmtId="4" fontId="13" fillId="3" borderId="10" xfId="3" applyNumberFormat="1" applyFont="1" applyFill="1" applyBorder="1" applyProtection="1">
      <protection locked="0"/>
    </xf>
    <xf numFmtId="4" fontId="13" fillId="3" borderId="13" xfId="3" applyNumberFormat="1" applyFont="1" applyFill="1" applyBorder="1" applyProtection="1">
      <protection locked="0"/>
    </xf>
    <xf numFmtId="4" fontId="13" fillId="3" borderId="16" xfId="3" applyNumberFormat="1" applyFont="1" applyFill="1" applyBorder="1" applyProtection="1">
      <protection locked="0"/>
    </xf>
    <xf numFmtId="4" fontId="13" fillId="3" borderId="0" xfId="1" applyNumberFormat="1" applyFont="1" applyFill="1" applyBorder="1" applyAlignment="1" applyProtection="1">
      <alignment horizontal="center"/>
      <protection locked="0"/>
    </xf>
    <xf numFmtId="2" fontId="13" fillId="3" borderId="0" xfId="1" applyNumberFormat="1" applyFont="1" applyFill="1" applyBorder="1" applyAlignment="1" applyProtection="1">
      <alignment horizontal="center"/>
      <protection locked="0"/>
    </xf>
    <xf numFmtId="0" fontId="0" fillId="0" borderId="67" xfId="0" applyBorder="1"/>
    <xf numFmtId="0" fontId="13" fillId="0" borderId="44" xfId="1" applyFont="1" applyBorder="1" applyAlignment="1">
      <alignment horizontal="left"/>
    </xf>
    <xf numFmtId="0" fontId="13" fillId="0" borderId="48" xfId="1" applyFont="1" applyBorder="1" applyAlignment="1">
      <alignment horizontal="left"/>
    </xf>
    <xf numFmtId="0" fontId="3" fillId="2" borderId="0" xfId="1" applyFont="1" applyFill="1" applyAlignment="1">
      <alignment vertical="center" wrapText="1"/>
    </xf>
    <xf numFmtId="0" fontId="33" fillId="3" borderId="0" xfId="1" applyFont="1" applyFill="1" applyAlignment="1">
      <alignment horizontal="left" vertical="center" wrapText="1"/>
    </xf>
    <xf numFmtId="0" fontId="27" fillId="3" borderId="0" xfId="7" applyFill="1" applyAlignment="1">
      <alignment horizontal="left" vertical="center" wrapText="1"/>
    </xf>
    <xf numFmtId="0" fontId="33" fillId="3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center" wrapText="1"/>
    </xf>
    <xf numFmtId="14" fontId="13" fillId="0" borderId="0" xfId="3" applyNumberFormat="1" applyFont="1" applyAlignment="1" applyProtection="1">
      <alignment horizontal="right" vertical="center"/>
      <protection hidden="1"/>
    </xf>
    <xf numFmtId="0" fontId="0" fillId="0" borderId="0" xfId="0" applyFont="1" applyAlignment="1"/>
    <xf numFmtId="164" fontId="8" fillId="0" borderId="40" xfId="4" applyNumberFormat="1" applyFont="1" applyBorder="1" applyAlignment="1" applyProtection="1">
      <alignment horizontal="center" vertical="center" wrapText="1"/>
      <protection hidden="1"/>
    </xf>
    <xf numFmtId="164" fontId="8" fillId="0" borderId="45" xfId="4" applyNumberFormat="1" applyFont="1" applyBorder="1" applyAlignment="1" applyProtection="1">
      <alignment horizontal="center" vertical="center" wrapText="1"/>
      <protection hidden="1"/>
    </xf>
    <xf numFmtId="2" fontId="13" fillId="5" borderId="9" xfId="4" applyNumberFormat="1" applyFont="1" applyFill="1" applyBorder="1" applyAlignment="1" applyProtection="1">
      <alignment horizontal="center"/>
      <protection locked="0"/>
    </xf>
    <xf numFmtId="4" fontId="8" fillId="5" borderId="10" xfId="4" applyNumberFormat="1" applyFont="1" applyFill="1" applyBorder="1" applyAlignment="1" applyProtection="1">
      <alignment horizontal="center"/>
      <protection locked="0"/>
    </xf>
    <xf numFmtId="0" fontId="27" fillId="0" borderId="0" xfId="7" applyFont="1" applyAlignment="1"/>
    <xf numFmtId="39" fontId="8" fillId="0" borderId="45" xfId="3" applyNumberFormat="1" applyFont="1" applyBorder="1" applyAlignment="1" applyProtection="1">
      <alignment horizontal="center" vertical="center" wrapText="1"/>
      <protection hidden="1"/>
    </xf>
    <xf numFmtId="4" fontId="8" fillId="0" borderId="0" xfId="5" applyNumberFormat="1" applyFont="1" applyAlignment="1">
      <alignment horizontal="right" vertical="center"/>
    </xf>
    <xf numFmtId="0" fontId="8" fillId="0" borderId="0" xfId="5" applyNumberFormat="1" applyFont="1" applyAlignment="1">
      <alignment horizontal="right" vertical="center"/>
    </xf>
    <xf numFmtId="4" fontId="8" fillId="6" borderId="0" xfId="1" applyNumberFormat="1" applyFont="1" applyFill="1" applyAlignment="1" applyProtection="1">
      <alignment horizontal="right" vertical="center"/>
      <protection hidden="1"/>
    </xf>
    <xf numFmtId="4" fontId="8" fillId="0" borderId="44" xfId="5" applyNumberFormat="1" applyFont="1" applyBorder="1" applyAlignment="1">
      <alignment horizontal="right" vertical="center"/>
    </xf>
    <xf numFmtId="4" fontId="8" fillId="5" borderId="48" xfId="5" applyNumberFormat="1" applyFont="1" applyFill="1" applyBorder="1" applyAlignment="1">
      <alignment horizontal="right" vertical="center"/>
    </xf>
    <xf numFmtId="4" fontId="7" fillId="6" borderId="46" xfId="5" applyNumberFormat="1" applyFont="1" applyFill="1" applyBorder="1" applyAlignment="1">
      <alignment horizontal="right" vertical="center"/>
    </xf>
    <xf numFmtId="14" fontId="13" fillId="0" borderId="45" xfId="3" applyNumberFormat="1" applyFont="1" applyBorder="1" applyAlignment="1" applyProtection="1">
      <alignment horizontal="center"/>
      <protection hidden="1"/>
    </xf>
    <xf numFmtId="14" fontId="13" fillId="0" borderId="46" xfId="3" applyNumberFormat="1" applyFont="1" applyBorder="1" applyAlignment="1" applyProtection="1">
      <alignment horizontal="center"/>
      <protection hidden="1"/>
    </xf>
    <xf numFmtId="14" fontId="13" fillId="0" borderId="0" xfId="3" applyNumberFormat="1" applyFont="1" applyBorder="1" applyAlignment="1" applyProtection="1">
      <alignment horizontal="center" wrapText="1"/>
      <protection hidden="1"/>
    </xf>
    <xf numFmtId="14" fontId="13" fillId="0" borderId="48" xfId="3" applyNumberFormat="1" applyFont="1" applyBorder="1" applyAlignment="1" applyProtection="1">
      <alignment horizontal="center"/>
      <protection hidden="1"/>
    </xf>
    <xf numFmtId="0" fontId="13" fillId="0" borderId="0" xfId="1" applyFont="1" applyBorder="1" applyAlignment="1" applyProtection="1">
      <alignment horizontal="right" vertical="center" wrapText="1"/>
      <protection hidden="1"/>
    </xf>
    <xf numFmtId="0" fontId="13" fillId="0" borderId="0" xfId="1" applyFont="1" applyBorder="1" applyAlignment="1" applyProtection="1">
      <alignment horizontal="center" vertical="center"/>
      <protection hidden="1"/>
    </xf>
    <xf numFmtId="0" fontId="13" fillId="0" borderId="44" xfId="1" applyFont="1" applyBorder="1" applyAlignment="1" applyProtection="1">
      <alignment horizontal="center" vertical="center" wrapText="1"/>
      <protection hidden="1"/>
    </xf>
    <xf numFmtId="9" fontId="13" fillId="0" borderId="46" xfId="8" applyFont="1" applyBorder="1" applyAlignment="1" applyProtection="1">
      <alignment horizontal="center" vertical="center"/>
      <protection hidden="1"/>
    </xf>
    <xf numFmtId="9" fontId="13" fillId="0" borderId="45" xfId="8" applyFont="1" applyBorder="1" applyAlignment="1" applyProtection="1">
      <alignment horizontal="center" vertical="center"/>
      <protection hidden="1"/>
    </xf>
    <xf numFmtId="9" fontId="13" fillId="0" borderId="48" xfId="8" applyFont="1" applyBorder="1" applyAlignment="1" applyProtection="1">
      <alignment horizontal="center" vertical="center"/>
      <protection hidden="1"/>
    </xf>
    <xf numFmtId="39" fontId="13" fillId="0" borderId="45" xfId="3" applyNumberFormat="1" applyFont="1" applyBorder="1" applyAlignment="1" applyProtection="1">
      <alignment horizontal="right"/>
      <protection hidden="1"/>
    </xf>
    <xf numFmtId="14" fontId="13" fillId="0" borderId="40" xfId="3" applyNumberFormat="1" applyFont="1" applyBorder="1" applyAlignment="1" applyProtection="1">
      <alignment horizontal="left"/>
      <protection hidden="1"/>
    </xf>
    <xf numFmtId="39" fontId="13" fillId="0" borderId="40" xfId="3" applyNumberFormat="1" applyFont="1" applyBorder="1" applyAlignment="1" applyProtection="1">
      <alignment horizontal="center"/>
      <protection hidden="1"/>
    </xf>
    <xf numFmtId="14" fontId="13" fillId="0" borderId="46" xfId="3" applyNumberFormat="1" applyFont="1" applyBorder="1" applyAlignment="1" applyProtection="1">
      <alignment horizontal="right"/>
      <protection hidden="1"/>
    </xf>
    <xf numFmtId="39" fontId="13" fillId="0" borderId="23" xfId="3" applyNumberFormat="1" applyFont="1" applyBorder="1" applyAlignment="1" applyProtection="1">
      <alignment horizontal="right"/>
      <protection hidden="1"/>
    </xf>
    <xf numFmtId="14" fontId="13" fillId="0" borderId="0" xfId="3" applyNumberFormat="1" applyFont="1" applyBorder="1" applyAlignment="1" applyProtection="1">
      <alignment horizontal="left"/>
      <protection hidden="1"/>
    </xf>
    <xf numFmtId="39" fontId="13" fillId="0" borderId="0" xfId="3" applyNumberFormat="1" applyFont="1" applyBorder="1" applyAlignment="1" applyProtection="1">
      <alignment horizontal="center"/>
      <protection hidden="1"/>
    </xf>
    <xf numFmtId="14" fontId="13" fillId="0" borderId="48" xfId="3" applyNumberFormat="1" applyFont="1" applyBorder="1" applyAlignment="1" applyProtection="1">
      <alignment horizontal="right"/>
      <protection hidden="1"/>
    </xf>
    <xf numFmtId="14" fontId="13" fillId="0" borderId="0" xfId="3" applyNumberFormat="1" applyFont="1" applyBorder="1" applyAlignment="1" applyProtection="1">
      <alignment horizontal="right" wrapText="1"/>
      <protection hidden="1"/>
    </xf>
    <xf numFmtId="39" fontId="13" fillId="0" borderId="0" xfId="3" applyNumberFormat="1" applyFont="1" applyBorder="1" applyAlignment="1" applyProtection="1">
      <alignment horizontal="center" wrapText="1"/>
      <protection hidden="1"/>
    </xf>
    <xf numFmtId="14" fontId="34" fillId="0" borderId="48" xfId="0" applyNumberFormat="1" applyFont="1" applyBorder="1"/>
    <xf numFmtId="14" fontId="0" fillId="0" borderId="0" xfId="0" applyNumberFormat="1"/>
    <xf numFmtId="10" fontId="13" fillId="0" borderId="0" xfId="3" applyNumberFormat="1" applyFont="1" applyAlignment="1" applyProtection="1">
      <alignment horizontal="left" vertical="center"/>
      <protection hidden="1"/>
    </xf>
    <xf numFmtId="39" fontId="14" fillId="0" borderId="0" xfId="3" applyNumberFormat="1" applyFont="1" applyAlignment="1" applyProtection="1">
      <alignment horizontal="center"/>
      <protection hidden="1"/>
    </xf>
    <xf numFmtId="0" fontId="14" fillId="0" borderId="1" xfId="3" applyFont="1" applyBorder="1" applyAlignment="1" applyProtection="1">
      <alignment horizontal="center"/>
      <protection hidden="1"/>
    </xf>
    <xf numFmtId="4" fontId="13" fillId="5" borderId="12" xfId="3" applyNumberFormat="1" applyFont="1" applyFill="1" applyBorder="1" applyAlignment="1" applyProtection="1">
      <alignment horizontal="right"/>
      <protection locked="0"/>
    </xf>
    <xf numFmtId="4" fontId="13" fillId="5" borderId="15" xfId="3" applyNumberFormat="1" applyFont="1" applyFill="1" applyBorder="1" applyAlignment="1" applyProtection="1">
      <alignment horizontal="right"/>
      <protection locked="0"/>
    </xf>
    <xf numFmtId="4" fontId="13" fillId="5" borderId="9" xfId="3" applyNumberFormat="1" applyFont="1" applyFill="1" applyBorder="1" applyAlignment="1" applyProtection="1">
      <alignment horizontal="right"/>
      <protection locked="0"/>
    </xf>
    <xf numFmtId="4" fontId="13" fillId="5" borderId="12" xfId="3" applyNumberFormat="1" applyFont="1" applyFill="1" applyBorder="1" applyAlignment="1" applyProtection="1">
      <alignment horizontal="center"/>
      <protection locked="0"/>
    </xf>
    <xf numFmtId="4" fontId="13" fillId="5" borderId="15" xfId="3" applyNumberFormat="1" applyFont="1" applyFill="1" applyBorder="1" applyAlignment="1" applyProtection="1">
      <alignment horizontal="center"/>
      <protection locked="0"/>
    </xf>
    <xf numFmtId="4" fontId="13" fillId="5" borderId="25" xfId="3" applyNumberFormat="1" applyFont="1" applyFill="1" applyBorder="1" applyAlignment="1" applyProtection="1">
      <alignment horizontal="center"/>
      <protection locked="0"/>
    </xf>
    <xf numFmtId="4" fontId="13" fillId="5" borderId="9" xfId="3" applyNumberFormat="1" applyFont="1" applyFill="1" applyBorder="1" applyAlignment="1" applyProtection="1">
      <alignment horizontal="center"/>
      <protection locked="0"/>
    </xf>
    <xf numFmtId="10" fontId="41" fillId="0" borderId="0" xfId="3" applyNumberFormat="1" applyFont="1" applyBorder="1" applyAlignment="1" applyProtection="1">
      <alignment horizontal="left" vertical="center" wrapText="1"/>
      <protection hidden="1"/>
    </xf>
    <xf numFmtId="0" fontId="13" fillId="0" borderId="0" xfId="1" applyFont="1" applyProtection="1">
      <protection hidden="1"/>
    </xf>
    <xf numFmtId="0" fontId="14" fillId="0" borderId="2" xfId="1" applyFont="1" applyBorder="1" applyAlignment="1" applyProtection="1">
      <alignment horizontal="center" vertical="center" wrapText="1"/>
      <protection hidden="1"/>
    </xf>
    <xf numFmtId="14" fontId="13" fillId="0" borderId="0" xfId="3" applyNumberFormat="1" applyFont="1" applyAlignment="1" applyProtection="1">
      <alignment horizontal="right" vertical="center"/>
      <protection hidden="1"/>
    </xf>
    <xf numFmtId="39" fontId="14" fillId="5" borderId="1" xfId="1" applyNumberFormat="1" applyFont="1" applyFill="1" applyBorder="1" applyAlignment="1" applyProtection="1">
      <alignment horizontal="center" vertical="center"/>
      <protection locked="0" hidden="1"/>
    </xf>
    <xf numFmtId="39" fontId="14" fillId="0" borderId="0" xfId="1" applyNumberFormat="1" applyFont="1" applyProtection="1">
      <protection locked="0" hidden="1"/>
    </xf>
    <xf numFmtId="0" fontId="13" fillId="5" borderId="1" xfId="1" applyFont="1" applyFill="1" applyBorder="1" applyAlignment="1" applyProtection="1">
      <alignment horizontal="center" vertical="center" wrapText="1"/>
      <protection locked="0" hidden="1"/>
    </xf>
    <xf numFmtId="0" fontId="13" fillId="0" borderId="22" xfId="1" applyFont="1" applyBorder="1" applyAlignment="1" applyProtection="1">
      <alignment horizontal="center" vertical="center"/>
      <protection locked="0" hidden="1"/>
    </xf>
    <xf numFmtId="0" fontId="13" fillId="5" borderId="1" xfId="1" applyFont="1" applyFill="1" applyBorder="1" applyAlignment="1" applyProtection="1">
      <alignment horizontal="center" vertical="center"/>
      <protection locked="0" hidden="1"/>
    </xf>
    <xf numFmtId="4" fontId="13" fillId="5" borderId="25" xfId="8" applyNumberFormat="1" applyFont="1" applyFill="1" applyBorder="1" applyAlignment="1" applyProtection="1">
      <alignment horizontal="center"/>
      <protection locked="0"/>
    </xf>
    <xf numFmtId="4" fontId="13" fillId="5" borderId="12" xfId="8" applyNumberFormat="1" applyFont="1" applyFill="1" applyBorder="1" applyAlignment="1" applyProtection="1">
      <alignment horizontal="center"/>
      <protection locked="0"/>
    </xf>
    <xf numFmtId="4" fontId="13" fillId="5" borderId="15" xfId="8" applyNumberFormat="1" applyFont="1" applyFill="1" applyBorder="1" applyAlignment="1" applyProtection="1">
      <alignment horizontal="center"/>
      <protection locked="0"/>
    </xf>
    <xf numFmtId="4" fontId="13" fillId="5" borderId="25" xfId="3" applyNumberFormat="1" applyFont="1" applyFill="1" applyBorder="1" applyAlignment="1" applyProtection="1">
      <alignment horizontal="center"/>
      <protection locked="0" hidden="1"/>
    </xf>
    <xf numFmtId="4" fontId="13" fillId="5" borderId="12" xfId="3" applyNumberFormat="1" applyFont="1" applyFill="1" applyBorder="1" applyAlignment="1" applyProtection="1">
      <alignment horizontal="center"/>
      <protection locked="0" hidden="1"/>
    </xf>
    <xf numFmtId="4" fontId="13" fillId="5" borderId="15" xfId="3" applyNumberFormat="1" applyFont="1" applyFill="1" applyBorder="1" applyAlignment="1" applyProtection="1">
      <alignment horizontal="center"/>
      <protection locked="0" hidden="1"/>
    </xf>
    <xf numFmtId="4" fontId="13" fillId="0" borderId="9" xfId="3" applyNumberFormat="1" applyFont="1" applyFill="1" applyBorder="1" applyAlignment="1" applyProtection="1">
      <alignment horizontal="right"/>
    </xf>
    <xf numFmtId="0" fontId="0" fillId="0" borderId="0" xfId="0" applyProtection="1"/>
    <xf numFmtId="0" fontId="27" fillId="0" borderId="0" xfId="7" applyProtection="1"/>
    <xf numFmtId="0" fontId="32" fillId="3" borderId="0" xfId="1" applyFont="1" applyFill="1" applyAlignment="1" applyProtection="1">
      <alignment vertical="center" wrapText="1"/>
    </xf>
    <xf numFmtId="0" fontId="33" fillId="3" borderId="0" xfId="1" applyFont="1" applyFill="1" applyAlignment="1" applyProtection="1">
      <alignment horizontal="left" vertical="center" wrapText="1"/>
    </xf>
    <xf numFmtId="0" fontId="3" fillId="0" borderId="0" xfId="1" applyFont="1" applyFill="1" applyAlignment="1" applyProtection="1">
      <alignment vertical="center" wrapText="1"/>
    </xf>
    <xf numFmtId="0" fontId="2" fillId="0" borderId="0" xfId="1" applyProtection="1"/>
    <xf numFmtId="164" fontId="14" fillId="0" borderId="1" xfId="4" applyNumberFormat="1" applyFont="1" applyBorder="1" applyAlignment="1" applyProtection="1">
      <alignment horizontal="center" vertical="center" wrapText="1"/>
    </xf>
    <xf numFmtId="1" fontId="13" fillId="0" borderId="39" xfId="4" applyNumberFormat="1" applyFont="1" applyBorder="1" applyProtection="1"/>
    <xf numFmtId="4" fontId="13" fillId="0" borderId="0" xfId="4" applyNumberFormat="1" applyFont="1" applyProtection="1"/>
    <xf numFmtId="4" fontId="13" fillId="0" borderId="0" xfId="4" applyNumberFormat="1" applyFont="1" applyAlignment="1" applyProtection="1">
      <alignment horizontal="right"/>
    </xf>
    <xf numFmtId="164" fontId="13" fillId="0" borderId="0" xfId="4" applyNumberFormat="1" applyFont="1" applyAlignment="1" applyProtection="1">
      <alignment horizontal="right"/>
    </xf>
    <xf numFmtId="164" fontId="13" fillId="0" borderId="0" xfId="4" applyNumberFormat="1" applyFont="1" applyAlignment="1" applyProtection="1">
      <alignment horizontal="right"/>
      <protection hidden="1"/>
    </xf>
    <xf numFmtId="4" fontId="14" fillId="6" borderId="0" xfId="4" applyNumberFormat="1" applyFont="1" applyFill="1" applyProtection="1"/>
    <xf numFmtId="0" fontId="14" fillId="6" borderId="0" xfId="4" applyFont="1" applyFill="1" applyProtection="1"/>
    <xf numFmtId="4" fontId="14" fillId="6" borderId="0" xfId="4" applyNumberFormat="1" applyFont="1" applyFill="1" applyAlignment="1" applyProtection="1">
      <alignment horizontal="right"/>
    </xf>
    <xf numFmtId="164" fontId="14" fillId="6" borderId="0" xfId="4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vertical="center" wrapText="1"/>
    </xf>
    <xf numFmtId="0" fontId="0" fillId="0" borderId="0" xfId="0" applyFont="1" applyProtection="1"/>
    <xf numFmtId="0" fontId="27" fillId="0" borderId="0" xfId="7" applyFont="1" applyProtection="1"/>
    <xf numFmtId="0" fontId="27" fillId="3" borderId="0" xfId="7" applyFill="1" applyAlignment="1" applyProtection="1">
      <alignment horizontal="left" vertical="center" wrapText="1"/>
    </xf>
    <xf numFmtId="4" fontId="0" fillId="0" borderId="48" xfId="0" applyNumberFormat="1" applyFont="1" applyBorder="1" applyAlignment="1" applyProtection="1">
      <alignment horizontal="center"/>
    </xf>
    <xf numFmtId="4" fontId="0" fillId="0" borderId="46" xfId="0" applyNumberFormat="1" applyFont="1" applyBorder="1" applyAlignment="1" applyProtection="1">
      <alignment horizontal="center"/>
    </xf>
    <xf numFmtId="1" fontId="8" fillId="0" borderId="0" xfId="4" applyNumberFormat="1" applyFont="1" applyAlignment="1" applyProtection="1">
      <alignment horizontal="center"/>
    </xf>
    <xf numFmtId="4" fontId="8" fillId="0" borderId="0" xfId="4" applyNumberFormat="1" applyFont="1" applyAlignment="1" applyProtection="1">
      <alignment horizontal="center"/>
    </xf>
    <xf numFmtId="164" fontId="8" fillId="0" borderId="0" xfId="4" applyNumberFormat="1" applyFont="1" applyAlignment="1" applyProtection="1">
      <alignment horizontal="center"/>
    </xf>
    <xf numFmtId="164" fontId="8" fillId="0" borderId="0" xfId="4" applyNumberFormat="1" applyFont="1" applyAlignment="1" applyProtection="1">
      <alignment horizontal="center"/>
      <protection hidden="1"/>
    </xf>
    <xf numFmtId="4" fontId="7" fillId="6" borderId="0" xfId="4" applyNumberFormat="1" applyFont="1" applyFill="1" applyProtection="1"/>
    <xf numFmtId="0" fontId="7" fillId="6" borderId="0" xfId="4" applyFont="1" applyFill="1" applyProtection="1"/>
    <xf numFmtId="4" fontId="7" fillId="6" borderId="0" xfId="4" applyNumberFormat="1" applyFont="1" applyFill="1" applyAlignment="1" applyProtection="1">
      <alignment horizontal="right"/>
    </xf>
    <xf numFmtId="164" fontId="7" fillId="6" borderId="0" xfId="4" applyNumberFormat="1" applyFont="1" applyFill="1" applyAlignment="1" applyProtection="1">
      <alignment horizontal="right"/>
    </xf>
    <xf numFmtId="0" fontId="33" fillId="3" borderId="0" xfId="1" applyFont="1" applyFill="1" applyAlignment="1" applyProtection="1">
      <alignment vertical="center" wrapText="1"/>
    </xf>
    <xf numFmtId="0" fontId="13" fillId="0" borderId="0" xfId="1" applyFont="1" applyAlignment="1" applyProtection="1">
      <alignment horizontal="right" vertical="center"/>
    </xf>
    <xf numFmtId="4" fontId="13" fillId="0" borderId="39" xfId="3" applyNumberFormat="1" applyFont="1" applyFill="1" applyBorder="1" applyAlignment="1" applyProtection="1">
      <alignment horizontal="center" vertical="center"/>
    </xf>
    <xf numFmtId="4" fontId="0" fillId="0" borderId="44" xfId="0" applyNumberFormat="1" applyBorder="1" applyAlignment="1" applyProtection="1">
      <alignment horizontal="center"/>
    </xf>
    <xf numFmtId="4" fontId="13" fillId="0" borderId="0" xfId="3" applyNumberFormat="1" applyFont="1" applyFill="1" applyBorder="1" applyAlignment="1" applyProtection="1">
      <alignment horizontal="center" vertical="center"/>
    </xf>
    <xf numFmtId="4" fontId="0" fillId="0" borderId="48" xfId="0" applyNumberFormat="1" applyBorder="1" applyAlignment="1" applyProtection="1">
      <alignment horizontal="center"/>
    </xf>
    <xf numFmtId="4" fontId="13" fillId="0" borderId="40" xfId="3" applyNumberFormat="1" applyFont="1" applyFill="1" applyBorder="1" applyAlignment="1" applyProtection="1">
      <alignment horizontal="center" vertical="center"/>
    </xf>
    <xf numFmtId="4" fontId="0" fillId="0" borderId="46" xfId="0" applyNumberFormat="1" applyBorder="1" applyAlignment="1" applyProtection="1">
      <alignment horizontal="center"/>
    </xf>
    <xf numFmtId="0" fontId="13" fillId="0" borderId="0" xfId="3" applyFont="1" applyAlignment="1" applyProtection="1">
      <alignment horizontal="left"/>
    </xf>
    <xf numFmtId="0" fontId="13" fillId="0" borderId="0" xfId="1" applyFont="1" applyAlignment="1" applyProtection="1">
      <alignment horizontal="center"/>
    </xf>
    <xf numFmtId="4" fontId="13" fillId="0" borderId="0" xfId="1" applyNumberFormat="1" applyFont="1" applyProtection="1"/>
    <xf numFmtId="9" fontId="13" fillId="0" borderId="0" xfId="1" applyNumberFormat="1" applyFont="1" applyProtection="1"/>
    <xf numFmtId="0" fontId="0" fillId="0" borderId="0" xfId="0" applyAlignment="1" applyProtection="1">
      <alignment horizontal="center"/>
    </xf>
    <xf numFmtId="4" fontId="0" fillId="3" borderId="2" xfId="0" applyNumberFormat="1" applyFill="1" applyBorder="1" applyAlignment="1" applyProtection="1">
      <alignment horizontal="center"/>
    </xf>
    <xf numFmtId="4" fontId="0" fillId="3" borderId="47" xfId="0" applyNumberFormat="1" applyFill="1" applyBorder="1" applyAlignment="1" applyProtection="1">
      <alignment horizontal="center"/>
    </xf>
    <xf numFmtId="4" fontId="0" fillId="3" borderId="3" xfId="0" applyNumberFormat="1" applyFill="1" applyBorder="1" applyAlignment="1" applyProtection="1">
      <alignment horizontal="center"/>
    </xf>
    <xf numFmtId="0" fontId="19" fillId="0" borderId="0" xfId="1" applyFont="1" applyProtection="1"/>
    <xf numFmtId="4" fontId="19" fillId="0" borderId="0" xfId="1" applyNumberFormat="1" applyFont="1" applyAlignment="1" applyProtection="1">
      <alignment horizontal="center"/>
    </xf>
    <xf numFmtId="4" fontId="19" fillId="0" borderId="0" xfId="1" applyNumberFormat="1" applyFont="1" applyAlignment="1" applyProtection="1">
      <alignment horizontal="right"/>
    </xf>
    <xf numFmtId="9" fontId="19" fillId="0" borderId="0" xfId="5" applyFont="1" applyAlignment="1" applyProtection="1">
      <alignment horizontal="right"/>
    </xf>
    <xf numFmtId="0" fontId="13" fillId="0" borderId="0" xfId="3" applyFont="1" applyAlignment="1" applyProtection="1">
      <alignment horizontal="right"/>
    </xf>
    <xf numFmtId="0" fontId="13" fillId="0" borderId="0" xfId="1" applyFont="1" applyProtection="1"/>
    <xf numFmtId="0" fontId="13" fillId="0" borderId="0" xfId="1" applyFont="1" applyAlignment="1" applyProtection="1">
      <alignment horizontal="right"/>
    </xf>
    <xf numFmtId="4" fontId="13" fillId="0" borderId="0" xfId="1" applyNumberFormat="1" applyFont="1" applyAlignment="1" applyProtection="1">
      <alignment horizontal="right"/>
    </xf>
    <xf numFmtId="9" fontId="13" fillId="0" borderId="0" xfId="5" applyFont="1" applyAlignment="1" applyProtection="1">
      <alignment horizontal="right"/>
    </xf>
    <xf numFmtId="0" fontId="14" fillId="0" borderId="0" xfId="3" applyFont="1" applyProtection="1"/>
    <xf numFmtId="0" fontId="14" fillId="0" borderId="0" xfId="3" applyFont="1" applyAlignment="1" applyProtection="1">
      <alignment horizontal="right"/>
    </xf>
    <xf numFmtId="39" fontId="14" fillId="0" borderId="0" xfId="3" applyNumberFormat="1" applyFont="1" applyProtection="1"/>
    <xf numFmtId="39" fontId="14" fillId="0" borderId="0" xfId="3" applyNumberFormat="1" applyFont="1" applyAlignment="1" applyProtection="1">
      <alignment horizontal="right"/>
    </xf>
    <xf numFmtId="39" fontId="14" fillId="0" borderId="0" xfId="3" applyNumberFormat="1" applyFont="1" applyAlignment="1" applyProtection="1">
      <alignment horizontal="center"/>
    </xf>
    <xf numFmtId="0" fontId="13" fillId="0" borderId="0" xfId="3" applyFont="1" applyAlignment="1" applyProtection="1">
      <alignment horizontal="center" vertical="center"/>
    </xf>
    <xf numFmtId="4" fontId="13" fillId="0" borderId="0" xfId="1" applyNumberFormat="1" applyFont="1" applyAlignment="1" applyProtection="1">
      <alignment horizontal="center" vertical="center" wrapText="1"/>
    </xf>
    <xf numFmtId="0" fontId="13" fillId="0" borderId="0" xfId="3" applyFont="1" applyAlignment="1" applyProtection="1">
      <alignment horizontal="center"/>
    </xf>
    <xf numFmtId="4" fontId="13" fillId="0" borderId="0" xfId="1" applyNumberFormat="1" applyFont="1" applyAlignment="1" applyProtection="1">
      <alignment horizontal="center"/>
    </xf>
    <xf numFmtId="9" fontId="13" fillId="0" borderId="0" xfId="1" applyNumberFormat="1" applyFont="1" applyAlignment="1" applyProtection="1">
      <alignment horizontal="center"/>
    </xf>
    <xf numFmtId="0" fontId="14" fillId="0" borderId="0" xfId="1" applyFont="1" applyProtection="1"/>
    <xf numFmtId="0" fontId="33" fillId="3" borderId="0" xfId="1" applyFont="1" applyFill="1" applyAlignment="1" applyProtection="1">
      <alignment horizontal="left" vertical="top" wrapText="1"/>
    </xf>
    <xf numFmtId="0" fontId="0" fillId="0" borderId="0" xfId="0" applyAlignment="1" applyProtection="1">
      <alignment horizontal="right" vertical="center"/>
    </xf>
    <xf numFmtId="4" fontId="13" fillId="0" borderId="0" xfId="3" applyNumberFormat="1" applyFont="1" applyProtection="1"/>
    <xf numFmtId="0" fontId="0" fillId="0" borderId="0" xfId="0" applyAlignment="1" applyProtection="1"/>
    <xf numFmtId="0" fontId="27" fillId="0" borderId="0" xfId="7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center"/>
    </xf>
    <xf numFmtId="4" fontId="13" fillId="0" borderId="23" xfId="3" applyNumberFormat="1" applyFont="1" applyFill="1" applyBorder="1" applyAlignment="1" applyProtection="1">
      <alignment horizontal="right"/>
    </xf>
    <xf numFmtId="4" fontId="13" fillId="0" borderId="45" xfId="3" applyNumberFormat="1" applyFont="1" applyFill="1" applyBorder="1" applyAlignment="1" applyProtection="1">
      <alignment horizontal="right"/>
    </xf>
    <xf numFmtId="0" fontId="27" fillId="3" borderId="0" xfId="7" applyFill="1" applyAlignment="1" applyProtection="1">
      <alignment horizontal="left" vertical="top" wrapText="1"/>
    </xf>
    <xf numFmtId="0" fontId="39" fillId="0" borderId="0" xfId="0" applyFont="1" applyBorder="1" applyProtection="1"/>
    <xf numFmtId="0" fontId="0" fillId="0" borderId="0" xfId="0" applyFont="1" applyBorder="1" applyProtection="1"/>
    <xf numFmtId="0" fontId="0" fillId="0" borderId="48" xfId="0" applyFont="1" applyBorder="1" applyProtection="1"/>
    <xf numFmtId="0" fontId="0" fillId="0" borderId="0" xfId="0" applyBorder="1" applyProtection="1"/>
    <xf numFmtId="0" fontId="0" fillId="0" borderId="48" xfId="0" applyBorder="1" applyProtection="1"/>
    <xf numFmtId="1" fontId="13" fillId="3" borderId="9" xfId="3" applyNumberFormat="1" applyFont="1" applyFill="1" applyBorder="1" applyAlignment="1" applyProtection="1">
      <alignment horizontal="right"/>
    </xf>
    <xf numFmtId="4" fontId="13" fillId="0" borderId="25" xfId="3" applyNumberFormat="1" applyFont="1" applyFill="1" applyBorder="1" applyAlignment="1" applyProtection="1">
      <alignment horizontal="center"/>
    </xf>
    <xf numFmtId="1" fontId="13" fillId="3" borderId="12" xfId="3" applyNumberFormat="1" applyFont="1" applyFill="1" applyBorder="1" applyAlignment="1" applyProtection="1">
      <alignment horizontal="right"/>
    </xf>
    <xf numFmtId="4" fontId="13" fillId="0" borderId="12" xfId="3" applyNumberFormat="1" applyFont="1" applyFill="1" applyBorder="1" applyAlignment="1" applyProtection="1">
      <alignment horizontal="center"/>
    </xf>
    <xf numFmtId="1" fontId="13" fillId="3" borderId="15" xfId="3" applyNumberFormat="1" applyFont="1" applyFill="1" applyBorder="1" applyAlignment="1" applyProtection="1">
      <alignment horizontal="right"/>
    </xf>
    <xf numFmtId="4" fontId="13" fillId="0" borderId="15" xfId="3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34" fillId="0" borderId="0" xfId="0" applyFont="1" applyBorder="1" applyProtection="1"/>
    <xf numFmtId="0" fontId="34" fillId="0" borderId="48" xfId="0" applyFont="1" applyBorder="1" applyProtection="1"/>
    <xf numFmtId="4" fontId="13" fillId="3" borderId="25" xfId="3" applyNumberFormat="1" applyFont="1" applyFill="1" applyBorder="1" applyAlignment="1" applyProtection="1">
      <alignment horizontal="center"/>
    </xf>
    <xf numFmtId="4" fontId="0" fillId="0" borderId="0" xfId="0" applyNumberFormat="1" applyProtection="1"/>
    <xf numFmtId="0" fontId="7" fillId="3" borderId="0" xfId="1" applyFont="1" applyFill="1" applyAlignment="1" applyProtection="1">
      <alignment horizontal="left" vertical="center" wrapText="1"/>
    </xf>
    <xf numFmtId="0" fontId="14" fillId="0" borderId="47" xfId="3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/>
    <xf numFmtId="4" fontId="0" fillId="0" borderId="9" xfId="0" applyNumberFormat="1" applyFill="1" applyBorder="1" applyAlignment="1" applyProtection="1">
      <alignment horizontal="center"/>
    </xf>
    <xf numFmtId="4" fontId="13" fillId="0" borderId="9" xfId="1" applyNumberFormat="1" applyFont="1" applyFill="1" applyBorder="1" applyAlignment="1" applyProtection="1">
      <alignment horizontal="center"/>
    </xf>
    <xf numFmtId="4" fontId="13" fillId="0" borderId="10" xfId="3" applyNumberFormat="1" applyFont="1" applyFill="1" applyBorder="1" applyAlignment="1" applyProtection="1">
      <alignment horizontal="center"/>
    </xf>
    <xf numFmtId="0" fontId="0" fillId="0" borderId="12" xfId="0" applyBorder="1" applyAlignment="1" applyProtection="1"/>
    <xf numFmtId="4" fontId="0" fillId="0" borderId="12" xfId="0" applyNumberFormat="1" applyFill="1" applyBorder="1" applyAlignment="1" applyProtection="1">
      <alignment horizontal="center"/>
    </xf>
    <xf numFmtId="4" fontId="13" fillId="0" borderId="12" xfId="1" applyNumberFormat="1" applyFont="1" applyFill="1" applyBorder="1" applyAlignment="1" applyProtection="1">
      <alignment horizontal="center"/>
    </xf>
    <xf numFmtId="4" fontId="13" fillId="0" borderId="13" xfId="3" applyNumberFormat="1" applyFont="1" applyFill="1" applyBorder="1" applyAlignment="1" applyProtection="1">
      <alignment horizontal="center"/>
    </xf>
    <xf numFmtId="0" fontId="0" fillId="0" borderId="15" xfId="0" applyBorder="1" applyAlignment="1" applyProtection="1"/>
    <xf numFmtId="4" fontId="0" fillId="0" borderId="15" xfId="0" applyNumberFormat="1" applyFill="1" applyBorder="1" applyAlignment="1" applyProtection="1">
      <alignment horizontal="center"/>
    </xf>
    <xf numFmtId="4" fontId="13" fillId="0" borderId="15" xfId="1" applyNumberFormat="1" applyFont="1" applyFill="1" applyBorder="1" applyAlignment="1" applyProtection="1">
      <alignment horizontal="center"/>
    </xf>
    <xf numFmtId="4" fontId="13" fillId="0" borderId="16" xfId="3" applyNumberFormat="1" applyFont="1" applyFill="1" applyBorder="1" applyAlignment="1" applyProtection="1">
      <alignment horizontal="center"/>
    </xf>
    <xf numFmtId="4" fontId="0" fillId="0" borderId="57" xfId="0" applyNumberFormat="1" applyBorder="1" applyProtection="1"/>
    <xf numFmtId="0" fontId="0" fillId="0" borderId="23" xfId="0" applyBorder="1" applyProtection="1"/>
    <xf numFmtId="0" fontId="0" fillId="0" borderId="0" xfId="0" applyBorder="1" applyAlignment="1" applyProtection="1">
      <alignment horizontal="right"/>
    </xf>
    <xf numFmtId="4" fontId="0" fillId="0" borderId="56" xfId="0" applyNumberFormat="1" applyBorder="1" applyProtection="1"/>
    <xf numFmtId="0" fontId="0" fillId="0" borderId="56" xfId="0" applyBorder="1" applyProtection="1"/>
    <xf numFmtId="14" fontId="0" fillId="0" borderId="56" xfId="0" applyNumberFormat="1" applyBorder="1" applyProtection="1"/>
    <xf numFmtId="0" fontId="0" fillId="0" borderId="45" xfId="0" applyBorder="1" applyProtection="1"/>
    <xf numFmtId="0" fontId="0" fillId="0" borderId="40" xfId="0" applyBorder="1" applyProtection="1"/>
    <xf numFmtId="0" fontId="0" fillId="0" borderId="40" xfId="0" quotePrefix="1" applyBorder="1" applyAlignment="1" applyProtection="1">
      <alignment horizontal="right"/>
    </xf>
    <xf numFmtId="4" fontId="0" fillId="0" borderId="60" xfId="0" applyNumberFormat="1" applyBorder="1" applyProtection="1"/>
    <xf numFmtId="0" fontId="39" fillId="0" borderId="0" xfId="0" applyFont="1" applyProtection="1"/>
    <xf numFmtId="0" fontId="0" fillId="5" borderId="8" xfId="0" applyFill="1" applyBorder="1" applyAlignment="1" applyProtection="1">
      <alignment horizontal="right"/>
      <protection locked="0"/>
    </xf>
    <xf numFmtId="0" fontId="0" fillId="5" borderId="11" xfId="0" applyFill="1" applyBorder="1" applyAlignment="1" applyProtection="1">
      <alignment horizontal="right"/>
      <protection locked="0"/>
    </xf>
    <xf numFmtId="0" fontId="0" fillId="5" borderId="14" xfId="0" applyFill="1" applyBorder="1" applyAlignment="1" applyProtection="1">
      <alignment horizontal="right"/>
      <protection locked="0"/>
    </xf>
    <xf numFmtId="4" fontId="0" fillId="5" borderId="9" xfId="0" applyNumberFormat="1" applyFill="1" applyBorder="1" applyAlignment="1" applyProtection="1">
      <alignment horizontal="center"/>
      <protection locked="0"/>
    </xf>
    <xf numFmtId="4" fontId="0" fillId="5" borderId="12" xfId="0" applyNumberFormat="1" applyFill="1" applyBorder="1" applyAlignment="1" applyProtection="1">
      <alignment horizontal="center"/>
      <protection locked="0"/>
    </xf>
    <xf numFmtId="4" fontId="0" fillId="5" borderId="15" xfId="0" applyNumberFormat="1" applyFill="1" applyBorder="1" applyAlignment="1" applyProtection="1">
      <alignment horizontal="center"/>
      <protection locked="0"/>
    </xf>
    <xf numFmtId="14" fontId="0" fillId="5" borderId="9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14" fontId="0" fillId="5" borderId="12" xfId="0" applyNumberFormat="1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13" fillId="0" borderId="39" xfId="1" applyFont="1" applyBorder="1" applyAlignment="1" applyProtection="1">
      <alignment horizontal="center" vertical="center" wrapText="1"/>
      <protection hidden="1"/>
    </xf>
    <xf numFmtId="2" fontId="0" fillId="5" borderId="56" xfId="0" applyNumberFormat="1" applyFill="1" applyBorder="1" applyProtection="1">
      <protection locked="0"/>
    </xf>
    <xf numFmtId="0" fontId="14" fillId="0" borderId="0" xfId="3" applyFont="1" applyAlignment="1" applyProtection="1">
      <alignment vertical="center" wrapText="1"/>
      <protection hidden="1"/>
    </xf>
    <xf numFmtId="4" fontId="13" fillId="0" borderId="9" xfId="3" applyNumberFormat="1" applyFont="1" applyFill="1" applyBorder="1" applyProtection="1">
      <protection hidden="1"/>
    </xf>
    <xf numFmtId="4" fontId="13" fillId="0" borderId="12" xfId="3" applyNumberFormat="1" applyFont="1" applyFill="1" applyBorder="1" applyProtection="1">
      <protection hidden="1"/>
    </xf>
    <xf numFmtId="4" fontId="13" fillId="0" borderId="15" xfId="3" applyNumberFormat="1" applyFont="1" applyFill="1" applyBorder="1" applyProtection="1">
      <protection hidden="1"/>
    </xf>
    <xf numFmtId="39" fontId="13" fillId="0" borderId="3" xfId="1" applyNumberFormat="1" applyFont="1" applyBorder="1" applyAlignment="1" applyProtection="1">
      <alignment horizontal="center" vertical="center" wrapText="1"/>
      <protection hidden="1"/>
    </xf>
    <xf numFmtId="14" fontId="44" fillId="0" borderId="0" xfId="1" applyNumberFormat="1" applyFont="1" applyAlignment="1">
      <alignment horizontal="center" vertical="center"/>
    </xf>
    <xf numFmtId="9" fontId="13" fillId="5" borderId="5" xfId="8" applyFont="1" applyFill="1" applyBorder="1" applyAlignment="1" applyProtection="1">
      <alignment horizontal="center" vertical="center"/>
      <protection hidden="1"/>
    </xf>
    <xf numFmtId="9" fontId="13" fillId="5" borderId="6" xfId="8" applyFont="1" applyFill="1" applyBorder="1" applyAlignment="1" applyProtection="1">
      <alignment horizontal="center" vertical="center"/>
      <protection hidden="1"/>
    </xf>
    <xf numFmtId="9" fontId="13" fillId="5" borderId="7" xfId="8" applyFont="1" applyFill="1" applyBorder="1" applyAlignment="1" applyProtection="1">
      <alignment horizontal="center" vertical="center"/>
      <protection hidden="1"/>
    </xf>
    <xf numFmtId="10" fontId="13" fillId="0" borderId="0" xfId="3" applyNumberFormat="1" applyFont="1" applyAlignment="1" applyProtection="1">
      <alignment horizontal="left" vertical="center"/>
      <protection hidden="1"/>
    </xf>
    <xf numFmtId="0" fontId="0" fillId="0" borderId="0" xfId="0" applyProtection="1"/>
    <xf numFmtId="0" fontId="0" fillId="0" borderId="0" xfId="0" applyAlignment="1" applyProtection="1">
      <alignment vertical="center"/>
    </xf>
    <xf numFmtId="4" fontId="13" fillId="5" borderId="12" xfId="3" applyNumberFormat="1" applyFont="1" applyFill="1" applyBorder="1" applyAlignment="1" applyProtection="1">
      <alignment horizontal="center"/>
      <protection locked="0"/>
    </xf>
    <xf numFmtId="4" fontId="13" fillId="5" borderId="15" xfId="3" applyNumberFormat="1" applyFont="1" applyFill="1" applyBorder="1" applyAlignment="1" applyProtection="1">
      <alignment horizontal="center"/>
      <protection locked="0"/>
    </xf>
    <xf numFmtId="4" fontId="13" fillId="5" borderId="16" xfId="3" applyNumberFormat="1" applyFont="1" applyFill="1" applyBorder="1" applyAlignment="1" applyProtection="1">
      <alignment horizontal="center"/>
      <protection locked="0"/>
    </xf>
    <xf numFmtId="4" fontId="13" fillId="5" borderId="13" xfId="3" applyNumberFormat="1" applyFont="1" applyFill="1" applyBorder="1" applyAlignment="1" applyProtection="1">
      <alignment horizontal="center"/>
      <protection locked="0"/>
    </xf>
    <xf numFmtId="4" fontId="13" fillId="5" borderId="9" xfId="3" applyNumberFormat="1" applyFont="1" applyFill="1" applyBorder="1" applyAlignment="1" applyProtection="1">
      <alignment horizontal="center"/>
      <protection locked="0"/>
    </xf>
    <xf numFmtId="4" fontId="13" fillId="5" borderId="10" xfId="3" applyNumberFormat="1" applyFont="1" applyFill="1" applyBorder="1" applyAlignment="1" applyProtection="1">
      <alignment horizontal="center"/>
      <protection locked="0"/>
    </xf>
    <xf numFmtId="0" fontId="13" fillId="0" borderId="0" xfId="1" applyFont="1" applyProtection="1">
      <protection hidden="1"/>
    </xf>
    <xf numFmtId="4" fontId="0" fillId="5" borderId="12" xfId="0" applyNumberFormat="1" applyFill="1" applyBorder="1" applyAlignment="1" applyProtection="1">
      <alignment horizontal="center"/>
      <protection locked="0"/>
    </xf>
    <xf numFmtId="4" fontId="0" fillId="5" borderId="15" xfId="0" applyNumberFormat="1" applyFill="1" applyBorder="1" applyAlignment="1" applyProtection="1">
      <alignment horizontal="center"/>
      <protection locked="0"/>
    </xf>
    <xf numFmtId="10" fontId="13" fillId="0" borderId="0" xfId="3" applyNumberFormat="1" applyFont="1" applyAlignment="1" applyProtection="1">
      <alignment horizontal="center" vertical="center"/>
      <protection hidden="1"/>
    </xf>
    <xf numFmtId="0" fontId="14" fillId="0" borderId="2" xfId="1" applyFont="1" applyBorder="1" applyAlignment="1" applyProtection="1">
      <alignment horizontal="center" vertical="center" wrapText="1"/>
      <protection hidden="1"/>
    </xf>
    <xf numFmtId="14" fontId="13" fillId="0" borderId="0" xfId="3" applyNumberFormat="1" applyFont="1" applyAlignment="1" applyProtection="1">
      <alignment horizontal="right" vertical="center"/>
      <protection hidden="1"/>
    </xf>
    <xf numFmtId="1" fontId="13" fillId="5" borderId="9" xfId="3" applyNumberFormat="1" applyFont="1" applyFill="1" applyBorder="1" applyAlignment="1" applyProtection="1">
      <alignment horizontal="center"/>
      <protection locked="0"/>
    </xf>
    <xf numFmtId="1" fontId="13" fillId="5" borderId="12" xfId="3" applyNumberFormat="1" applyFont="1" applyFill="1" applyBorder="1" applyAlignment="1" applyProtection="1">
      <alignment horizontal="center"/>
      <protection locked="0"/>
    </xf>
    <xf numFmtId="1" fontId="13" fillId="5" borderId="15" xfId="3" applyNumberFormat="1" applyFont="1" applyFill="1" applyBorder="1" applyAlignment="1" applyProtection="1">
      <alignment horizontal="center"/>
      <protection locked="0"/>
    </xf>
    <xf numFmtId="4" fontId="13" fillId="5" borderId="2" xfId="1" applyNumberFormat="1" applyFont="1" applyFill="1" applyBorder="1" applyProtection="1">
      <protection locked="0"/>
    </xf>
    <xf numFmtId="0" fontId="8" fillId="3" borderId="0" xfId="1" applyFont="1" applyFill="1" applyAlignment="1">
      <alignment vertical="center"/>
    </xf>
    <xf numFmtId="0" fontId="2" fillId="3" borderId="0" xfId="1" applyFill="1" applyAlignment="1">
      <alignment vertical="center"/>
    </xf>
    <xf numFmtId="0" fontId="2" fillId="0" borderId="0" xfId="1" applyAlignment="1">
      <alignment vertical="center"/>
    </xf>
    <xf numFmtId="0" fontId="0" fillId="0" borderId="0" xfId="0"/>
    <xf numFmtId="0" fontId="0" fillId="0" borderId="0" xfId="0" applyFill="1"/>
    <xf numFmtId="0" fontId="0" fillId="0" borderId="0" xfId="0" applyFill="1"/>
    <xf numFmtId="0" fontId="8" fillId="3" borderId="0" xfId="1" applyFont="1" applyFill="1" applyAlignment="1">
      <alignment vertical="center"/>
    </xf>
    <xf numFmtId="0" fontId="2" fillId="3" borderId="0" xfId="1" applyFill="1" applyAlignment="1">
      <alignment vertical="center"/>
    </xf>
    <xf numFmtId="0" fontId="3" fillId="2" borderId="0" xfId="1" applyFont="1" applyFill="1" applyAlignment="1">
      <alignment vertical="center" wrapText="1"/>
    </xf>
    <xf numFmtId="0" fontId="2" fillId="0" borderId="0" xfId="1" applyAlignment="1">
      <alignment vertical="center"/>
    </xf>
    <xf numFmtId="0" fontId="5" fillId="3" borderId="0" xfId="1" applyFont="1" applyFill="1" applyAlignment="1">
      <alignment vertical="center"/>
    </xf>
    <xf numFmtId="0" fontId="7" fillId="3" borderId="0" xfId="1" applyFont="1" applyFill="1" applyAlignment="1">
      <alignment horizontal="left" vertical="center"/>
    </xf>
    <xf numFmtId="0" fontId="1" fillId="3" borderId="0" xfId="1" applyFont="1" applyFill="1" applyAlignment="1">
      <alignment horizontal="left" vertical="center"/>
    </xf>
    <xf numFmtId="0" fontId="29" fillId="3" borderId="0" xfId="2" applyFont="1" applyFill="1" applyAlignment="1">
      <alignment vertical="center"/>
      <protection locked="0"/>
    </xf>
    <xf numFmtId="0" fontId="8" fillId="3" borderId="0" xfId="1" applyFont="1" applyFill="1" applyAlignment="1" applyProtection="1">
      <alignment vertical="center"/>
      <protection locked="0"/>
    </xf>
    <xf numFmtId="0" fontId="2" fillId="3" borderId="0" xfId="1" applyFill="1" applyAlignment="1" applyProtection="1">
      <alignment vertical="center"/>
      <protection locked="0"/>
    </xf>
    <xf numFmtId="0" fontId="7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0" fontId="2" fillId="0" borderId="0" xfId="1"/>
    <xf numFmtId="0" fontId="8" fillId="0" borderId="0" xfId="1" applyFont="1" applyAlignment="1">
      <alignment horizontal="justify" vertical="top" wrapText="1"/>
    </xf>
    <xf numFmtId="0" fontId="27" fillId="0" borderId="23" xfId="7" applyBorder="1" applyAlignment="1"/>
    <xf numFmtId="0" fontId="0" fillId="0" borderId="0" xfId="0" applyAlignment="1"/>
    <xf numFmtId="0" fontId="27" fillId="0" borderId="0" xfId="7" applyAlignment="1"/>
    <xf numFmtId="0" fontId="27" fillId="0" borderId="42" xfId="7" applyBorder="1" applyAlignment="1"/>
    <xf numFmtId="0" fontId="0" fillId="0" borderId="39" xfId="0" applyBorder="1" applyAlignment="1"/>
    <xf numFmtId="0" fontId="27" fillId="0" borderId="39" xfId="7" applyBorder="1" applyAlignment="1"/>
    <xf numFmtId="0" fontId="27" fillId="0" borderId="0" xfId="7" applyBorder="1" applyAlignment="1"/>
    <xf numFmtId="0" fontId="27" fillId="0" borderId="23" xfId="7" applyBorder="1" applyAlignment="1" applyProtection="1">
      <protection locked="0"/>
    </xf>
    <xf numFmtId="0" fontId="27" fillId="0" borderId="68" xfId="7" applyFill="1" applyBorder="1" applyAlignment="1"/>
    <xf numFmtId="0" fontId="27" fillId="0" borderId="43" xfId="7" applyFill="1" applyBorder="1" applyAlignment="1"/>
    <xf numFmtId="0" fontId="0" fillId="0" borderId="43" xfId="0" applyBorder="1" applyAlignment="1"/>
    <xf numFmtId="0" fontId="27" fillId="0" borderId="42" xfId="7" applyFill="1" applyBorder="1" applyAlignment="1" applyProtection="1"/>
    <xf numFmtId="0" fontId="0" fillId="0" borderId="39" xfId="0" applyBorder="1" applyAlignment="1" applyProtection="1"/>
    <xf numFmtId="0" fontId="27" fillId="0" borderId="43" xfId="7" applyBorder="1" applyAlignment="1"/>
    <xf numFmtId="0" fontId="13" fillId="5" borderId="36" xfId="3" applyFon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14" fontId="13" fillId="5" borderId="36" xfId="3" applyNumberFormat="1" applyFont="1" applyFill="1" applyBorder="1" applyAlignment="1" applyProtection="1">
      <alignment horizontal="center"/>
      <protection locked="0"/>
    </xf>
    <xf numFmtId="0" fontId="0" fillId="0" borderId="37" xfId="0" applyBorder="1" applyAlignment="1"/>
    <xf numFmtId="0" fontId="0" fillId="0" borderId="38" xfId="0" applyBorder="1" applyAlignment="1"/>
    <xf numFmtId="10" fontId="13" fillId="5" borderId="30" xfId="3" applyNumberFormat="1" applyFon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10" fontId="13" fillId="5" borderId="33" xfId="3" applyNumberFormat="1" applyFont="1" applyFill="1" applyBorder="1" applyAlignment="1" applyProtection="1">
      <alignment horizontal="center"/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39" fontId="13" fillId="5" borderId="33" xfId="3" applyNumberFormat="1" applyFont="1" applyFill="1" applyBorder="1" applyAlignment="1" applyProtection="1">
      <alignment horizontal="center" vertical="center"/>
      <protection locked="0"/>
    </xf>
    <xf numFmtId="39" fontId="13" fillId="5" borderId="34" xfId="3" applyNumberFormat="1" applyFont="1" applyFill="1" applyBorder="1" applyAlignment="1" applyProtection="1">
      <alignment horizontal="center" vertical="center"/>
      <protection locked="0"/>
    </xf>
    <xf numFmtId="39" fontId="13" fillId="5" borderId="35" xfId="3" applyNumberFormat="1" applyFont="1" applyFill="1" applyBorder="1" applyAlignment="1" applyProtection="1">
      <alignment horizontal="center" vertical="center"/>
      <protection locked="0"/>
    </xf>
    <xf numFmtId="0" fontId="2" fillId="0" borderId="0" xfId="1" applyAlignment="1"/>
    <xf numFmtId="0" fontId="0" fillId="0" borderId="31" xfId="0" applyBorder="1" applyAlignment="1"/>
    <xf numFmtId="0" fontId="0" fillId="0" borderId="32" xfId="0" applyBorder="1" applyAlignment="1"/>
    <xf numFmtId="2" fontId="13" fillId="5" borderId="33" xfId="3" applyNumberFormat="1" applyFont="1" applyFill="1" applyBorder="1" applyAlignment="1" applyProtection="1">
      <alignment horizontal="center"/>
      <protection locked="0"/>
    </xf>
    <xf numFmtId="2" fontId="0" fillId="0" borderId="34" xfId="0" applyNumberFormat="1" applyBorder="1" applyAlignment="1"/>
    <xf numFmtId="2" fontId="0" fillId="0" borderId="35" xfId="0" applyNumberFormat="1" applyBorder="1" applyAlignment="1"/>
    <xf numFmtId="14" fontId="13" fillId="5" borderId="33" xfId="3" applyNumberFormat="1" applyFont="1" applyFill="1" applyBorder="1" applyAlignment="1" applyProtection="1">
      <alignment horizontal="center"/>
      <protection locked="0"/>
    </xf>
    <xf numFmtId="0" fontId="0" fillId="0" borderId="34" xfId="0" applyBorder="1" applyAlignment="1"/>
    <xf numFmtId="0" fontId="0" fillId="0" borderId="35" xfId="0" applyBorder="1" applyAlignment="1"/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 wrapText="1"/>
    </xf>
    <xf numFmtId="0" fontId="2" fillId="0" borderId="0" xfId="1" applyProtection="1"/>
    <xf numFmtId="10" fontId="13" fillId="0" borderId="0" xfId="1" applyNumberFormat="1" applyFont="1" applyAlignment="1" applyProtection="1">
      <alignment horizontal="left" vertical="center"/>
      <protection hidden="1"/>
    </xf>
    <xf numFmtId="0" fontId="2" fillId="0" borderId="0" xfId="1" applyAlignment="1" applyProtection="1">
      <alignment horizontal="left" vertical="center"/>
    </xf>
    <xf numFmtId="0" fontId="33" fillId="3" borderId="0" xfId="1" applyFont="1" applyFill="1" applyAlignment="1" applyProtection="1">
      <alignment horizontal="left" vertical="center" wrapText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7" fillId="0" borderId="3" xfId="1" applyFont="1" applyBorder="1" applyAlignment="1" applyProtection="1">
      <alignment horizontal="center" vertical="center" wrapText="1"/>
      <protection hidden="1"/>
    </xf>
    <xf numFmtId="1" fontId="7" fillId="0" borderId="2" xfId="4" applyNumberFormat="1" applyFont="1" applyBorder="1" applyAlignment="1" applyProtection="1">
      <alignment horizontal="center" vertical="center"/>
      <protection hidden="1"/>
    </xf>
    <xf numFmtId="1" fontId="7" fillId="0" borderId="3" xfId="4" applyNumberFormat="1" applyFont="1" applyBorder="1" applyAlignment="1" applyProtection="1">
      <alignment horizontal="center" vertical="center"/>
      <protection hidden="1"/>
    </xf>
    <xf numFmtId="4" fontId="7" fillId="0" borderId="2" xfId="4" applyNumberFormat="1" applyFont="1" applyBorder="1" applyAlignment="1" applyProtection="1">
      <alignment horizontal="center" vertical="center"/>
      <protection hidden="1"/>
    </xf>
    <xf numFmtId="4" fontId="7" fillId="0" borderId="3" xfId="4" applyNumberFormat="1" applyFont="1" applyBorder="1" applyAlignment="1" applyProtection="1">
      <alignment horizontal="center" vertical="center"/>
      <protection hidden="1"/>
    </xf>
    <xf numFmtId="4" fontId="7" fillId="0" borderId="39" xfId="4" applyNumberFormat="1" applyFont="1" applyBorder="1" applyAlignment="1" applyProtection="1">
      <alignment horizontal="center" vertical="center"/>
      <protection hidden="1"/>
    </xf>
    <xf numFmtId="4" fontId="7" fillId="0" borderId="40" xfId="4" applyNumberFormat="1" applyFont="1" applyBorder="1" applyAlignment="1" applyProtection="1">
      <alignment horizontal="center" vertical="center"/>
      <protection hidden="1"/>
    </xf>
    <xf numFmtId="164" fontId="7" fillId="0" borderId="42" xfId="4" applyNumberFormat="1" applyFont="1" applyBorder="1" applyAlignment="1" applyProtection="1">
      <alignment horizontal="center" vertical="center" wrapText="1"/>
      <protection hidden="1"/>
    </xf>
    <xf numFmtId="164" fontId="7" fillId="0" borderId="45" xfId="4" applyNumberFormat="1" applyFont="1" applyBorder="1" applyAlignment="1" applyProtection="1">
      <alignment horizontal="center" vertical="center" wrapText="1"/>
      <protection hidden="1"/>
    </xf>
    <xf numFmtId="4" fontId="7" fillId="0" borderId="42" xfId="4" applyNumberFormat="1" applyFont="1" applyBorder="1" applyAlignment="1" applyProtection="1">
      <alignment horizontal="center" vertical="center" wrapText="1"/>
      <protection hidden="1"/>
    </xf>
    <xf numFmtId="4" fontId="7" fillId="0" borderId="45" xfId="4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/>
    <xf numFmtId="164" fontId="7" fillId="0" borderId="2" xfId="4" applyNumberFormat="1" applyFont="1" applyBorder="1" applyAlignment="1" applyProtection="1">
      <alignment horizontal="center" vertical="center" wrapText="1"/>
      <protection hidden="1"/>
    </xf>
    <xf numFmtId="164" fontId="7" fillId="0" borderId="3" xfId="4" applyNumberFormat="1" applyFont="1" applyBorder="1" applyAlignment="1" applyProtection="1">
      <alignment horizontal="center" vertical="center" wrapText="1"/>
      <protection hidden="1"/>
    </xf>
    <xf numFmtId="0" fontId="7" fillId="0" borderId="39" xfId="1" applyFont="1" applyBorder="1" applyAlignment="1" applyProtection="1">
      <alignment horizontal="center"/>
      <protection hidden="1"/>
    </xf>
    <xf numFmtId="10" fontId="8" fillId="0" borderId="0" xfId="3" applyNumberFormat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 vertical="center"/>
    </xf>
    <xf numFmtId="0" fontId="0" fillId="0" borderId="0" xfId="0" applyFill="1" applyAlignment="1"/>
    <xf numFmtId="0" fontId="7" fillId="0" borderId="42" xfId="1" applyFont="1" applyBorder="1" applyAlignment="1" applyProtection="1">
      <alignment horizontal="center"/>
      <protection hidden="1"/>
    </xf>
    <xf numFmtId="10" fontId="13" fillId="0" borderId="0" xfId="3" applyNumberFormat="1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</xf>
    <xf numFmtId="0" fontId="45" fillId="3" borderId="0" xfId="1" applyFont="1" applyFill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44" xfId="1" applyFont="1" applyBorder="1" applyAlignment="1" applyProtection="1">
      <alignment horizontal="center"/>
      <protection hidden="1"/>
    </xf>
    <xf numFmtId="0" fontId="7" fillId="0" borderId="42" xfId="1" applyFont="1" applyBorder="1" applyAlignment="1" applyProtection="1">
      <alignment horizontal="center" vertical="center"/>
      <protection hidden="1"/>
    </xf>
    <xf numFmtId="0" fontId="7" fillId="0" borderId="39" xfId="1" applyFont="1" applyBorder="1" applyAlignment="1" applyProtection="1">
      <alignment horizontal="center" vertical="center"/>
      <protection hidden="1"/>
    </xf>
    <xf numFmtId="0" fontId="7" fillId="0" borderId="44" xfId="1" applyFont="1" applyBorder="1" applyAlignment="1" applyProtection="1">
      <alignment horizontal="center" vertical="center"/>
      <protection hidden="1"/>
    </xf>
    <xf numFmtId="0" fontId="33" fillId="3" borderId="0" xfId="1" applyFont="1" applyFill="1" applyAlignment="1">
      <alignment horizontal="left" vertical="center" wrapText="1"/>
    </xf>
    <xf numFmtId="0" fontId="33" fillId="3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Protection="1"/>
    <xf numFmtId="39" fontId="14" fillId="0" borderId="0" xfId="3" applyNumberFormat="1" applyFont="1" applyAlignment="1" applyProtection="1">
      <alignment horizontal="center"/>
      <protection hidden="1"/>
    </xf>
    <xf numFmtId="39" fontId="14" fillId="0" borderId="0" xfId="3" applyNumberFormat="1" applyFont="1" applyAlignment="1" applyProtection="1">
      <alignment horizontal="center"/>
    </xf>
    <xf numFmtId="0" fontId="14" fillId="0" borderId="1" xfId="3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</xf>
    <xf numFmtId="0" fontId="33" fillId="3" borderId="0" xfId="1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4" fontId="13" fillId="5" borderId="15" xfId="3" applyNumberFormat="1" applyFont="1" applyFill="1" applyBorder="1" applyAlignment="1" applyProtection="1">
      <alignment horizontal="right"/>
      <protection locked="0"/>
    </xf>
    <xf numFmtId="0" fontId="13" fillId="5" borderId="15" xfId="1" applyFont="1" applyFill="1" applyBorder="1" applyAlignment="1" applyProtection="1">
      <alignment horizontal="right"/>
      <protection locked="0"/>
    </xf>
    <xf numFmtId="4" fontId="13" fillId="5" borderId="9" xfId="3" applyNumberFormat="1" applyFont="1" applyFill="1" applyBorder="1" applyAlignment="1" applyProtection="1">
      <alignment horizontal="right"/>
      <protection locked="0"/>
    </xf>
    <xf numFmtId="0" fontId="13" fillId="5" borderId="9" xfId="1" applyFont="1" applyFill="1" applyBorder="1" applyAlignment="1" applyProtection="1">
      <alignment horizontal="right"/>
      <protection locked="0"/>
    </xf>
    <xf numFmtId="4" fontId="13" fillId="5" borderId="12" xfId="3" applyNumberFormat="1" applyFont="1" applyFill="1" applyBorder="1" applyAlignment="1" applyProtection="1">
      <alignment horizontal="right"/>
      <protection locked="0"/>
    </xf>
    <xf numFmtId="0" fontId="13" fillId="5" borderId="12" xfId="1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0" xfId="0" applyAlignment="1">
      <alignment vertical="center"/>
    </xf>
    <xf numFmtId="39" fontId="14" fillId="0" borderId="1" xfId="3" applyNumberFormat="1" applyFont="1" applyBorder="1" applyAlignment="1" applyProtection="1">
      <alignment horizontal="center"/>
      <protection hidden="1"/>
    </xf>
    <xf numFmtId="0" fontId="14" fillId="0" borderId="2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39" fontId="14" fillId="0" borderId="2" xfId="1" applyNumberFormat="1" applyFont="1" applyBorder="1" applyAlignment="1" applyProtection="1">
      <alignment horizontal="center" vertical="center" wrapText="1"/>
      <protection hidden="1"/>
    </xf>
    <xf numFmtId="39" fontId="14" fillId="0" borderId="47" xfId="1" applyNumberFormat="1" applyFont="1" applyBorder="1" applyAlignment="1" applyProtection="1">
      <alignment horizontal="center" vertical="center" wrapText="1"/>
      <protection hidden="1"/>
    </xf>
    <xf numFmtId="39" fontId="14" fillId="0" borderId="3" xfId="1" applyNumberFormat="1" applyFont="1" applyBorder="1" applyAlignment="1" applyProtection="1">
      <alignment horizontal="center" vertical="center" wrapText="1"/>
      <protection hidden="1"/>
    </xf>
    <xf numFmtId="0" fontId="14" fillId="0" borderId="42" xfId="1" applyFont="1" applyBorder="1" applyAlignment="1">
      <alignment horizontal="center"/>
    </xf>
    <xf numFmtId="0" fontId="14" fillId="0" borderId="39" xfId="1" applyFont="1" applyBorder="1" applyAlignment="1">
      <alignment horizontal="center"/>
    </xf>
    <xf numFmtId="0" fontId="14" fillId="0" borderId="44" xfId="1" applyFont="1" applyBorder="1" applyAlignment="1">
      <alignment horizontal="center"/>
    </xf>
    <xf numFmtId="0" fontId="13" fillId="0" borderId="2" xfId="1" applyFont="1" applyBorder="1" applyAlignment="1" applyProtection="1">
      <alignment horizontal="center" vertical="center"/>
      <protection hidden="1"/>
    </xf>
    <xf numFmtId="0" fontId="13" fillId="0" borderId="3" xfId="1" applyFont="1" applyBorder="1" applyAlignment="1" applyProtection="1">
      <alignment horizontal="center" vertical="center"/>
      <protection hidden="1"/>
    </xf>
    <xf numFmtId="0" fontId="13" fillId="0" borderId="0" xfId="1" applyFont="1" applyAlignment="1">
      <alignment horizontal="left" vertical="center" wrapText="1"/>
    </xf>
    <xf numFmtId="0" fontId="13" fillId="5" borderId="21" xfId="1" applyFont="1" applyFill="1" applyBorder="1" applyAlignment="1" applyProtection="1">
      <alignment horizontal="left"/>
      <protection locked="0"/>
    </xf>
    <xf numFmtId="0" fontId="13" fillId="5" borderId="22" xfId="1" applyFont="1" applyFill="1" applyBorder="1" applyAlignment="1" applyProtection="1">
      <alignment horizontal="left"/>
      <protection locked="0"/>
    </xf>
    <xf numFmtId="0" fontId="13" fillId="5" borderId="4" xfId="1" applyFont="1" applyFill="1" applyBorder="1" applyAlignment="1" applyProtection="1">
      <alignment horizontal="left"/>
      <protection locked="0"/>
    </xf>
    <xf numFmtId="0" fontId="13" fillId="0" borderId="23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4" fillId="0" borderId="42" xfId="3" applyFont="1" applyBorder="1" applyAlignment="1" applyProtection="1">
      <alignment horizontal="center" vertical="center"/>
      <protection hidden="1"/>
    </xf>
    <xf numFmtId="0" fontId="14" fillId="0" borderId="45" xfId="3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4" fontId="13" fillId="5" borderId="50" xfId="3" applyNumberFormat="1" applyFont="1" applyFill="1" applyBorder="1" applyAlignment="1" applyProtection="1">
      <alignment horizontal="center" vertical="center"/>
      <protection locked="0"/>
    </xf>
    <xf numFmtId="4" fontId="13" fillId="5" borderId="35" xfId="3" applyNumberFormat="1" applyFont="1" applyFill="1" applyBorder="1" applyAlignment="1" applyProtection="1">
      <alignment horizontal="center" vertical="center"/>
      <protection locked="0"/>
    </xf>
    <xf numFmtId="4" fontId="13" fillId="5" borderId="51" xfId="3" applyNumberFormat="1" applyFont="1" applyFill="1" applyBorder="1" applyAlignment="1" applyProtection="1">
      <alignment horizontal="center" vertical="center"/>
      <protection locked="0"/>
    </xf>
    <xf numFmtId="4" fontId="13" fillId="5" borderId="54" xfId="3" applyNumberFormat="1" applyFont="1" applyFill="1" applyBorder="1" applyAlignment="1" applyProtection="1">
      <alignment horizontal="center" vertical="center"/>
      <protection locked="0"/>
    </xf>
    <xf numFmtId="4" fontId="13" fillId="5" borderId="38" xfId="3" applyNumberFormat="1" applyFont="1" applyFill="1" applyBorder="1" applyAlignment="1" applyProtection="1">
      <alignment horizontal="center" vertical="center"/>
      <protection locked="0"/>
    </xf>
    <xf numFmtId="4" fontId="13" fillId="5" borderId="55" xfId="3" applyNumberFormat="1" applyFont="1" applyFill="1" applyBorder="1" applyAlignment="1" applyProtection="1">
      <alignment horizontal="center" vertical="center"/>
      <protection locked="0"/>
    </xf>
    <xf numFmtId="4" fontId="13" fillId="5" borderId="52" xfId="3" applyNumberFormat="1" applyFont="1" applyFill="1" applyBorder="1" applyAlignment="1" applyProtection="1">
      <alignment horizontal="center" vertical="center"/>
      <protection locked="0"/>
    </xf>
    <xf numFmtId="4" fontId="13" fillId="5" borderId="53" xfId="3" applyNumberFormat="1" applyFont="1" applyFill="1" applyBorder="1" applyAlignment="1" applyProtection="1">
      <alignment horizontal="center" vertical="center"/>
      <protection locked="0"/>
    </xf>
    <xf numFmtId="0" fontId="14" fillId="0" borderId="2" xfId="3" applyFont="1" applyBorder="1" applyAlignment="1" applyProtection="1">
      <alignment horizontal="center" wrapText="1"/>
      <protection hidden="1"/>
    </xf>
    <xf numFmtId="0" fontId="14" fillId="0" borderId="3" xfId="3" applyFont="1" applyBorder="1" applyAlignment="1" applyProtection="1">
      <alignment horizontal="center" wrapText="1"/>
      <protection hidden="1"/>
    </xf>
    <xf numFmtId="4" fontId="13" fillId="5" borderId="32" xfId="3" applyNumberFormat="1" applyFont="1" applyFill="1" applyBorder="1" applyAlignment="1" applyProtection="1">
      <alignment horizontal="center" vertical="center"/>
      <protection locked="0"/>
    </xf>
    <xf numFmtId="14" fontId="14" fillId="0" borderId="39" xfId="3" applyNumberFormat="1" applyFont="1" applyBorder="1" applyAlignment="1" applyProtection="1">
      <alignment horizontal="center" vertical="center"/>
      <protection hidden="1"/>
    </xf>
    <xf numFmtId="14" fontId="14" fillId="0" borderId="40" xfId="3" applyNumberFormat="1" applyFont="1" applyBorder="1" applyAlignment="1" applyProtection="1">
      <alignment horizontal="center" vertical="center"/>
      <protection hidden="1"/>
    </xf>
    <xf numFmtId="39" fontId="14" fillId="0" borderId="42" xfId="3" applyNumberFormat="1" applyFont="1" applyBorder="1" applyAlignment="1" applyProtection="1">
      <alignment horizontal="center" vertical="center" wrapText="1"/>
      <protection hidden="1"/>
    </xf>
    <xf numFmtId="39" fontId="14" fillId="0" borderId="45" xfId="3" applyNumberFormat="1" applyFont="1" applyBorder="1" applyAlignment="1" applyProtection="1">
      <alignment horizontal="center" vertical="center" wrapText="1"/>
      <protection hidden="1"/>
    </xf>
    <xf numFmtId="14" fontId="14" fillId="0" borderId="44" xfId="3" applyNumberFormat="1" applyFont="1" applyBorder="1" applyAlignment="1" applyProtection="1">
      <alignment horizontal="center" vertical="center"/>
      <protection hidden="1"/>
    </xf>
    <xf numFmtId="14" fontId="14" fillId="0" borderId="46" xfId="3" applyNumberFormat="1" applyFont="1" applyBorder="1" applyAlignment="1" applyProtection="1">
      <alignment horizontal="center" vertical="center"/>
      <protection hidden="1"/>
    </xf>
    <xf numFmtId="4" fontId="13" fillId="5" borderId="12" xfId="3" applyNumberFormat="1" applyFont="1" applyFill="1" applyBorder="1" applyAlignment="1" applyProtection="1">
      <alignment horizontal="center"/>
      <protection locked="0"/>
    </xf>
    <xf numFmtId="4" fontId="13" fillId="5" borderId="13" xfId="3" applyNumberFormat="1" applyFont="1" applyFill="1" applyBorder="1" applyAlignment="1" applyProtection="1">
      <alignment horizontal="center"/>
      <protection locked="0"/>
    </xf>
    <xf numFmtId="4" fontId="13" fillId="5" borderId="11" xfId="3" applyNumberFormat="1" applyFont="1" applyFill="1" applyBorder="1" applyAlignment="1" applyProtection="1">
      <alignment horizontal="center"/>
      <protection locked="0"/>
    </xf>
    <xf numFmtId="4" fontId="13" fillId="5" borderId="51" xfId="3" applyNumberFormat="1" applyFont="1" applyFill="1" applyBorder="1" applyAlignment="1" applyProtection="1">
      <alignment horizontal="center"/>
      <protection locked="0"/>
    </xf>
    <xf numFmtId="1" fontId="13" fillId="0" borderId="9" xfId="3" applyNumberFormat="1" applyFont="1" applyFill="1" applyBorder="1" applyAlignment="1" applyProtection="1">
      <alignment horizontal="center"/>
    </xf>
    <xf numFmtId="1" fontId="13" fillId="0" borderId="12" xfId="3" applyNumberFormat="1" applyFont="1" applyFill="1" applyBorder="1" applyAlignment="1" applyProtection="1">
      <alignment horizontal="center"/>
    </xf>
    <xf numFmtId="1" fontId="13" fillId="0" borderId="50" xfId="3" applyNumberFormat="1" applyFont="1" applyFill="1" applyBorder="1" applyAlignment="1" applyProtection="1">
      <alignment horizontal="center"/>
    </xf>
    <xf numFmtId="1" fontId="13" fillId="0" borderId="51" xfId="3" applyNumberFormat="1" applyFont="1" applyFill="1" applyBorder="1" applyAlignment="1" applyProtection="1">
      <alignment horizontal="center"/>
    </xf>
    <xf numFmtId="4" fontId="13" fillId="5" borderId="9" xfId="3" applyNumberFormat="1" applyFont="1" applyFill="1" applyBorder="1" applyAlignment="1" applyProtection="1">
      <alignment horizontal="center"/>
      <protection locked="0"/>
    </xf>
    <xf numFmtId="4" fontId="13" fillId="5" borderId="10" xfId="3" applyNumberFormat="1" applyFont="1" applyFill="1" applyBorder="1" applyAlignment="1" applyProtection="1">
      <alignment horizontal="center"/>
      <protection locked="0"/>
    </xf>
    <xf numFmtId="4" fontId="13" fillId="5" borderId="24" xfId="3" applyNumberFormat="1" applyFont="1" applyFill="1" applyBorder="1" applyAlignment="1" applyProtection="1">
      <alignment horizontal="center"/>
      <protection locked="0"/>
    </xf>
    <xf numFmtId="4" fontId="13" fillId="5" borderId="25" xfId="3" applyNumberFormat="1" applyFont="1" applyFill="1" applyBorder="1" applyAlignment="1" applyProtection="1">
      <alignment horizontal="center"/>
      <protection locked="0"/>
    </xf>
    <xf numFmtId="4" fontId="13" fillId="5" borderId="65" xfId="3" applyNumberFormat="1" applyFont="1" applyFill="1" applyBorder="1" applyAlignment="1" applyProtection="1">
      <alignment horizontal="center"/>
      <protection locked="0"/>
    </xf>
    <xf numFmtId="1" fontId="13" fillId="0" borderId="15" xfId="3" applyNumberFormat="1" applyFont="1" applyFill="1" applyBorder="1" applyAlignment="1" applyProtection="1">
      <alignment horizontal="center"/>
    </xf>
    <xf numFmtId="4" fontId="13" fillId="5" borderId="15" xfId="3" applyNumberFormat="1" applyFont="1" applyFill="1" applyBorder="1" applyAlignment="1" applyProtection="1">
      <alignment horizontal="center"/>
      <protection locked="0"/>
    </xf>
    <xf numFmtId="1" fontId="13" fillId="0" borderId="54" xfId="3" applyNumberFormat="1" applyFont="1" applyFill="1" applyBorder="1" applyAlignment="1" applyProtection="1">
      <alignment horizontal="center"/>
    </xf>
    <xf numFmtId="1" fontId="13" fillId="0" borderId="55" xfId="3" applyNumberFormat="1" applyFont="1" applyFill="1" applyBorder="1" applyAlignment="1" applyProtection="1">
      <alignment horizontal="center"/>
    </xf>
    <xf numFmtId="4" fontId="13" fillId="5" borderId="55" xfId="3" applyNumberFormat="1" applyFont="1" applyFill="1" applyBorder="1" applyAlignment="1" applyProtection="1">
      <alignment horizontal="center"/>
      <protection locked="0"/>
    </xf>
    <xf numFmtId="4" fontId="13" fillId="5" borderId="16" xfId="3" applyNumberFormat="1" applyFont="1" applyFill="1" applyBorder="1" applyAlignment="1" applyProtection="1">
      <alignment horizontal="center"/>
      <protection locked="0"/>
    </xf>
    <xf numFmtId="4" fontId="13" fillId="5" borderId="14" xfId="3" applyNumberFormat="1" applyFont="1" applyFill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</xf>
    <xf numFmtId="0" fontId="14" fillId="0" borderId="47" xfId="3" applyFont="1" applyBorder="1" applyAlignment="1" applyProtection="1">
      <alignment horizontal="center" wrapText="1"/>
      <protection hidden="1"/>
    </xf>
    <xf numFmtId="0" fontId="14" fillId="0" borderId="23" xfId="3" applyFont="1" applyBorder="1" applyAlignment="1" applyProtection="1">
      <alignment horizontal="center"/>
      <protection hidden="1"/>
    </xf>
    <xf numFmtId="14" fontId="14" fillId="0" borderId="44" xfId="3" applyNumberFormat="1" applyFont="1" applyBorder="1" applyAlignment="1" applyProtection="1">
      <alignment horizontal="center"/>
      <protection hidden="1"/>
    </xf>
    <xf numFmtId="14" fontId="14" fillId="0" borderId="48" xfId="3" applyNumberFormat="1" applyFont="1" applyBorder="1" applyAlignment="1" applyProtection="1">
      <alignment horizontal="center"/>
      <protection hidden="1"/>
    </xf>
    <xf numFmtId="39" fontId="14" fillId="0" borderId="39" xfId="3" applyNumberFormat="1" applyFont="1" applyBorder="1" applyAlignment="1" applyProtection="1">
      <alignment horizontal="center" wrapText="1"/>
      <protection hidden="1"/>
    </xf>
    <xf numFmtId="39" fontId="14" fillId="0" borderId="0" xfId="3" applyNumberFormat="1" applyFont="1" applyBorder="1" applyAlignment="1" applyProtection="1">
      <alignment horizontal="center" wrapText="1"/>
      <protection hidden="1"/>
    </xf>
    <xf numFmtId="14" fontId="14" fillId="0" borderId="0" xfId="3" applyNumberFormat="1" applyFont="1" applyBorder="1" applyAlignment="1" applyProtection="1">
      <alignment horizontal="center"/>
      <protection hidden="1"/>
    </xf>
    <xf numFmtId="0" fontId="14" fillId="0" borderId="39" xfId="3" applyFont="1" applyBorder="1" applyAlignment="1" applyProtection="1">
      <alignment horizontal="center"/>
      <protection hidden="1"/>
    </xf>
    <xf numFmtId="0" fontId="14" fillId="0" borderId="0" xfId="3" applyFont="1" applyBorder="1" applyAlignment="1" applyProtection="1">
      <alignment horizontal="center"/>
      <protection hidden="1"/>
    </xf>
    <xf numFmtId="14" fontId="14" fillId="0" borderId="39" xfId="3" applyNumberFormat="1" applyFont="1" applyBorder="1" applyAlignment="1" applyProtection="1">
      <alignment horizontal="center"/>
      <protection hidden="1"/>
    </xf>
    <xf numFmtId="14" fontId="14" fillId="0" borderId="39" xfId="3" applyNumberFormat="1" applyFont="1" applyBorder="1" applyAlignment="1" applyProtection="1">
      <alignment horizontal="center" wrapText="1"/>
      <protection hidden="1"/>
    </xf>
    <xf numFmtId="14" fontId="14" fillId="0" borderId="0" xfId="3" applyNumberFormat="1" applyFont="1" applyBorder="1" applyAlignment="1" applyProtection="1">
      <alignment horizontal="center" wrapText="1"/>
      <protection hidden="1"/>
    </xf>
    <xf numFmtId="0" fontId="1" fillId="0" borderId="39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4" fillId="0" borderId="39" xfId="3" applyFont="1" applyBorder="1" applyAlignment="1" applyProtection="1">
      <alignment horizontal="center" wrapText="1"/>
      <protection hidden="1"/>
    </xf>
    <xf numFmtId="0" fontId="14" fillId="0" borderId="0" xfId="3" applyFont="1" applyBorder="1" applyAlignment="1" applyProtection="1">
      <alignment horizontal="center" wrapText="1"/>
      <protection hidden="1"/>
    </xf>
    <xf numFmtId="0" fontId="14" fillId="0" borderId="42" xfId="3" applyFont="1" applyBorder="1" applyAlignment="1" applyProtection="1">
      <alignment horizontal="center"/>
      <protection hidden="1"/>
    </xf>
    <xf numFmtId="14" fontId="13" fillId="0" borderId="0" xfId="3" applyNumberFormat="1" applyFont="1" applyAlignment="1" applyProtection="1">
      <alignment horizontal="center" wrapText="1"/>
      <protection hidden="1"/>
    </xf>
    <xf numFmtId="0" fontId="13" fillId="0" borderId="21" xfId="1" applyFont="1" applyBorder="1" applyAlignment="1" applyProtection="1">
      <alignment horizontal="right" vertical="center" wrapText="1"/>
      <protection hidden="1"/>
    </xf>
    <xf numFmtId="0" fontId="13" fillId="0" borderId="4" xfId="1" applyFont="1" applyBorder="1" applyAlignment="1" applyProtection="1">
      <alignment horizontal="right" vertical="center" wrapText="1"/>
      <protection hidden="1"/>
    </xf>
    <xf numFmtId="10" fontId="41" fillId="0" borderId="0" xfId="3" applyNumberFormat="1" applyFont="1" applyBorder="1" applyAlignment="1" applyProtection="1">
      <alignment horizontal="left" vertical="center" wrapText="1"/>
      <protection hidden="1"/>
    </xf>
    <xf numFmtId="10" fontId="13" fillId="0" borderId="21" xfId="3" applyNumberFormat="1" applyFont="1" applyBorder="1" applyAlignment="1" applyProtection="1">
      <alignment horizontal="center" vertical="center" wrapText="1"/>
      <protection hidden="1"/>
    </xf>
    <xf numFmtId="10" fontId="13" fillId="0" borderId="22" xfId="3" applyNumberFormat="1" applyFont="1" applyBorder="1" applyAlignment="1" applyProtection="1">
      <alignment horizontal="center" vertical="center" wrapText="1"/>
      <protection hidden="1"/>
    </xf>
    <xf numFmtId="10" fontId="13" fillId="0" borderId="4" xfId="3" applyNumberFormat="1" applyFont="1" applyBorder="1" applyAlignment="1" applyProtection="1">
      <alignment horizontal="center" vertical="center" wrapText="1"/>
      <protection hidden="1"/>
    </xf>
    <xf numFmtId="14" fontId="13" fillId="0" borderId="0" xfId="3" applyNumberFormat="1" applyFont="1" applyBorder="1" applyAlignment="1" applyProtection="1">
      <alignment horizontal="center" wrapText="1"/>
      <protection hidden="1"/>
    </xf>
    <xf numFmtId="14" fontId="14" fillId="0" borderId="40" xfId="3" applyNumberFormat="1" applyFont="1" applyBorder="1" applyAlignment="1" applyProtection="1">
      <alignment horizontal="center"/>
      <protection hidden="1"/>
    </xf>
    <xf numFmtId="10" fontId="43" fillId="0" borderId="39" xfId="3" applyNumberFormat="1" applyFont="1" applyBorder="1" applyAlignment="1" applyProtection="1">
      <alignment horizontal="center" vertical="center" wrapText="1"/>
      <protection hidden="1"/>
    </xf>
    <xf numFmtId="0" fontId="42" fillId="0" borderId="39" xfId="0" applyFont="1" applyBorder="1" applyAlignment="1" applyProtection="1">
      <alignment horizontal="center" vertical="center" wrapText="1"/>
    </xf>
    <xf numFmtId="0" fontId="27" fillId="0" borderId="0" xfId="7" applyAlignment="1" applyProtection="1"/>
    <xf numFmtId="4" fontId="14" fillId="6" borderId="0" xfId="1" applyNumberFormat="1" applyFont="1" applyFill="1" applyProtection="1">
      <protection hidden="1"/>
    </xf>
    <xf numFmtId="0" fontId="13" fillId="0" borderId="0" xfId="1" applyFont="1" applyProtection="1">
      <protection hidden="1"/>
    </xf>
    <xf numFmtId="4" fontId="13" fillId="5" borderId="51" xfId="3" applyNumberFormat="1" applyFont="1" applyFill="1" applyBorder="1" applyProtection="1">
      <protection locked="0"/>
    </xf>
    <xf numFmtId="4" fontId="13" fillId="5" borderId="12" xfId="3" applyNumberFormat="1" applyFont="1" applyFill="1" applyBorder="1" applyProtection="1">
      <protection locked="0"/>
    </xf>
    <xf numFmtId="0" fontId="35" fillId="0" borderId="42" xfId="1" applyFont="1" applyBorder="1" applyAlignment="1" applyProtection="1">
      <alignment horizontal="center"/>
      <protection hidden="1"/>
    </xf>
    <xf numFmtId="0" fontId="35" fillId="0" borderId="39" xfId="1" applyFont="1" applyBorder="1" applyAlignment="1" applyProtection="1">
      <alignment horizontal="center"/>
      <protection hidden="1"/>
    </xf>
    <xf numFmtId="0" fontId="35" fillId="0" borderId="44" xfId="1" applyFont="1" applyBorder="1" applyAlignment="1" applyProtection="1">
      <alignment horizontal="center"/>
      <protection hidden="1"/>
    </xf>
    <xf numFmtId="4" fontId="36" fillId="5" borderId="65" xfId="3" applyNumberFormat="1" applyFont="1" applyFill="1" applyBorder="1" applyProtection="1">
      <protection locked="0"/>
    </xf>
    <xf numFmtId="0" fontId="36" fillId="5" borderId="25" xfId="1" applyFont="1" applyFill="1" applyBorder="1" applyProtection="1">
      <protection locked="0"/>
    </xf>
    <xf numFmtId="4" fontId="13" fillId="5" borderId="55" xfId="3" applyNumberFormat="1" applyFont="1" applyFill="1" applyBorder="1" applyProtection="1">
      <protection locked="0"/>
    </xf>
    <xf numFmtId="4" fontId="13" fillId="5" borderId="15" xfId="3" applyNumberFormat="1" applyFont="1" applyFill="1" applyBorder="1" applyProtection="1">
      <protection locked="0"/>
    </xf>
    <xf numFmtId="0" fontId="3" fillId="2" borderId="0" xfId="1" applyFont="1" applyFill="1" applyAlignment="1">
      <alignment horizontal="left" vertical="center" wrapText="1"/>
    </xf>
    <xf numFmtId="10" fontId="13" fillId="0" borderId="0" xfId="3" applyNumberFormat="1" applyFont="1" applyAlignment="1" applyProtection="1">
      <alignment horizontal="left"/>
      <protection hidden="1"/>
    </xf>
    <xf numFmtId="4" fontId="36" fillId="5" borderId="25" xfId="3" applyNumberFormat="1" applyFont="1" applyFill="1" applyBorder="1" applyProtection="1">
      <protection locked="0"/>
    </xf>
    <xf numFmtId="0" fontId="13" fillId="0" borderId="52" xfId="1" applyNumberFormat="1" applyFont="1" applyFill="1" applyBorder="1" applyAlignment="1" applyProtection="1">
      <alignment horizontal="center"/>
    </xf>
    <xf numFmtId="0" fontId="13" fillId="0" borderId="53" xfId="1" applyNumberFormat="1" applyFont="1" applyFill="1" applyBorder="1" applyAlignment="1" applyProtection="1">
      <alignment horizontal="center"/>
    </xf>
    <xf numFmtId="0" fontId="14" fillId="0" borderId="42" xfId="1" applyFont="1" applyBorder="1" applyAlignment="1" applyProtection="1">
      <alignment horizontal="center" vertical="center" wrapText="1"/>
      <protection hidden="1"/>
    </xf>
    <xf numFmtId="0" fontId="14" fillId="0" borderId="23" xfId="1" applyFont="1" applyBorder="1" applyAlignment="1" applyProtection="1">
      <alignment horizontal="center" vertical="center" wrapText="1"/>
      <protection hidden="1"/>
    </xf>
    <xf numFmtId="39" fontId="14" fillId="0" borderId="23" xfId="3" applyNumberFormat="1" applyFont="1" applyBorder="1" applyAlignment="1" applyProtection="1">
      <alignment horizontal="center" vertical="center" wrapText="1"/>
      <protection hidden="1"/>
    </xf>
    <xf numFmtId="10" fontId="13" fillId="0" borderId="0" xfId="3" applyNumberFormat="1" applyFont="1" applyAlignment="1" applyProtection="1">
      <alignment horizontal="center" vertical="center"/>
      <protection hidden="1"/>
    </xf>
    <xf numFmtId="0" fontId="14" fillId="0" borderId="2" xfId="3" applyNumberFormat="1" applyFont="1" applyBorder="1" applyAlignment="1" applyProtection="1">
      <alignment horizontal="center" vertical="center" wrapText="1"/>
      <protection hidden="1"/>
    </xf>
    <xf numFmtId="0" fontId="14" fillId="0" borderId="47" xfId="3" applyNumberFormat="1" applyFont="1" applyBorder="1" applyAlignment="1" applyProtection="1">
      <alignment horizontal="center" vertical="center" wrapText="1"/>
      <protection hidden="1"/>
    </xf>
    <xf numFmtId="0" fontId="14" fillId="0" borderId="45" xfId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48" xfId="0" applyFont="1" applyBorder="1" applyAlignment="1" applyProtection="1">
      <alignment horizontal="center" vertical="center" wrapText="1"/>
    </xf>
    <xf numFmtId="4" fontId="0" fillId="5" borderId="12" xfId="0" applyNumberFormat="1" applyFill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 vertical="center" wrapText="1"/>
    </xf>
    <xf numFmtId="4" fontId="0" fillId="5" borderId="15" xfId="0" applyNumberFormat="1" applyFill="1" applyBorder="1" applyAlignment="1" applyProtection="1">
      <alignment horizontal="center"/>
      <protection locked="0"/>
    </xf>
    <xf numFmtId="4" fontId="0" fillId="5" borderId="25" xfId="0" applyNumberFormat="1" applyFill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left"/>
    </xf>
    <xf numFmtId="0" fontId="0" fillId="0" borderId="59" xfId="0" applyBorder="1" applyAlignment="1" applyProtection="1">
      <alignment horizontal="left"/>
    </xf>
    <xf numFmtId="0" fontId="0" fillId="0" borderId="61" xfId="0" applyBorder="1" applyAlignment="1" applyProtection="1">
      <alignment horizontal="left"/>
    </xf>
    <xf numFmtId="0" fontId="0" fillId="0" borderId="62" xfId="0" applyBorder="1" applyAlignment="1" applyProtection="1">
      <alignment horizontal="left"/>
    </xf>
    <xf numFmtId="0" fontId="0" fillId="0" borderId="63" xfId="0" applyBorder="1" applyAlignment="1" applyProtection="1">
      <alignment horizontal="left"/>
    </xf>
    <xf numFmtId="0" fontId="1" fillId="0" borderId="42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0" fillId="0" borderId="57" xfId="0" applyBorder="1" applyAlignment="1" applyProtection="1">
      <alignment horizontal="left"/>
    </xf>
    <xf numFmtId="0" fontId="0" fillId="0" borderId="58" xfId="0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 wrapText="1"/>
    </xf>
    <xf numFmtId="4" fontId="13" fillId="5" borderId="9" xfId="3" applyNumberFormat="1" applyFont="1" applyFill="1" applyBorder="1" applyProtection="1">
      <protection locked="0"/>
    </xf>
    <xf numFmtId="0" fontId="13" fillId="5" borderId="9" xfId="1" applyFont="1" applyFill="1" applyBorder="1" applyProtection="1">
      <protection locked="0"/>
    </xf>
    <xf numFmtId="4" fontId="13" fillId="5" borderId="14" xfId="3" applyNumberFormat="1" applyFont="1" applyFill="1" applyBorder="1" applyProtection="1">
      <protection locked="0"/>
    </xf>
    <xf numFmtId="4" fontId="13" fillId="5" borderId="8" xfId="3" applyNumberFormat="1" applyFont="1" applyFill="1" applyBorder="1" applyProtection="1">
      <protection locked="0"/>
    </xf>
    <xf numFmtId="4" fontId="13" fillId="5" borderId="11" xfId="3" applyNumberFormat="1" applyFont="1" applyFill="1" applyBorder="1" applyProtection="1">
      <protection locked="0"/>
    </xf>
    <xf numFmtId="4" fontId="14" fillId="6" borderId="23" xfId="1" applyNumberFormat="1" applyFont="1" applyFill="1" applyBorder="1" applyProtection="1">
      <protection hidden="1"/>
    </xf>
    <xf numFmtId="0" fontId="13" fillId="0" borderId="0" xfId="1" applyFont="1" applyBorder="1" applyProtection="1">
      <protection hidden="1"/>
    </xf>
    <xf numFmtId="4" fontId="14" fillId="6" borderId="45" xfId="1" applyNumberFormat="1" applyFont="1" applyFill="1" applyBorder="1" applyProtection="1">
      <protection hidden="1"/>
    </xf>
    <xf numFmtId="0" fontId="13" fillId="0" borderId="40" xfId="1" applyFont="1" applyBorder="1" applyProtection="1">
      <protection hidden="1"/>
    </xf>
    <xf numFmtId="0" fontId="1" fillId="0" borderId="2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4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7" fillId="3" borderId="0" xfId="7" applyFill="1" applyAlignment="1">
      <alignment horizontal="left" vertical="center" wrapText="1"/>
    </xf>
    <xf numFmtId="39" fontId="14" fillId="0" borderId="2" xfId="3" applyNumberFormat="1" applyFont="1" applyBorder="1" applyAlignment="1" applyProtection="1">
      <alignment horizontal="center" vertical="center" wrapText="1"/>
      <protection hidden="1"/>
    </xf>
    <xf numFmtId="39" fontId="14" fillId="0" borderId="3" xfId="3" applyNumberFormat="1" applyFont="1" applyBorder="1" applyAlignment="1" applyProtection="1">
      <alignment horizontal="center" vertical="center" wrapText="1"/>
      <protection hidden="1"/>
    </xf>
    <xf numFmtId="0" fontId="14" fillId="0" borderId="2" xfId="1" applyFont="1" applyBorder="1" applyAlignment="1" applyProtection="1">
      <alignment horizontal="center" vertical="center" wrapText="1"/>
      <protection hidden="1"/>
    </xf>
    <xf numFmtId="0" fontId="14" fillId="0" borderId="3" xfId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13" fillId="0" borderId="0" xfId="3" applyNumberFormat="1" applyFont="1" applyAlignment="1" applyProtection="1">
      <alignment horizontal="right" vertical="center"/>
      <protection hidden="1"/>
    </xf>
    <xf numFmtId="39" fontId="7" fillId="0" borderId="0" xfId="3" applyNumberFormat="1" applyFont="1" applyFill="1" applyAlignment="1" applyProtection="1">
      <alignment horizontal="center"/>
      <protection hidden="1"/>
    </xf>
    <xf numFmtId="0" fontId="8" fillId="0" borderId="0" xfId="3" applyNumberFormat="1" applyFont="1" applyAlignment="1" applyProtection="1">
      <alignment horizontal="left"/>
      <protection hidden="1"/>
    </xf>
    <xf numFmtId="0" fontId="0" fillId="0" borderId="0" xfId="0" applyNumberFormat="1" applyFont="1" applyAlignment="1"/>
    <xf numFmtId="0" fontId="1" fillId="0" borderId="0" xfId="0" applyFont="1" applyAlignment="1">
      <alignment horizontal="left"/>
    </xf>
    <xf numFmtId="14" fontId="8" fillId="0" borderId="0" xfId="3" applyNumberFormat="1" applyFont="1" applyProtection="1">
      <protection hidden="1"/>
    </xf>
    <xf numFmtId="0" fontId="0" fillId="0" borderId="0" xfId="0" applyFont="1"/>
    <xf numFmtId="0" fontId="0" fillId="0" borderId="0" xfId="0" applyFont="1" applyAlignment="1"/>
    <xf numFmtId="0" fontId="21" fillId="5" borderId="15" xfId="0" applyFont="1" applyFill="1" applyBorder="1" applyAlignment="1" applyProtection="1">
      <alignment horizontal="right"/>
      <protection locked="0"/>
    </xf>
    <xf numFmtId="0" fontId="21" fillId="5" borderId="12" xfId="0" applyFont="1" applyFill="1" applyBorder="1" applyAlignment="1" applyProtection="1">
      <alignment horizontal="right"/>
      <protection locked="0"/>
    </xf>
    <xf numFmtId="0" fontId="21" fillId="5" borderId="9" xfId="0" applyFont="1" applyFill="1" applyBorder="1" applyAlignment="1" applyProtection="1">
      <alignment horizontal="right"/>
      <protection locked="0"/>
    </xf>
    <xf numFmtId="0" fontId="33" fillId="3" borderId="0" xfId="1" applyFont="1" applyFill="1" applyAlignment="1">
      <alignment horizontal="center" vertical="center" wrapText="1"/>
    </xf>
    <xf numFmtId="39" fontId="14" fillId="0" borderId="1" xfId="3" applyNumberFormat="1" applyFont="1" applyFill="1" applyBorder="1" applyAlignment="1" applyProtection="1">
      <alignment horizontal="center"/>
      <protection hidden="1"/>
    </xf>
    <xf numFmtId="14" fontId="8" fillId="0" borderId="0" xfId="3" applyNumberFormat="1" applyFont="1" applyAlignment="1" applyProtection="1">
      <alignment horizontal="right"/>
      <protection hidden="1"/>
    </xf>
    <xf numFmtId="0" fontId="8" fillId="0" borderId="0" xfId="3" applyNumberFormat="1" applyFont="1" applyAlignment="1" applyProtection="1">
      <alignment horizontal="left" vertical="center"/>
      <protection hidden="1"/>
    </xf>
    <xf numFmtId="39" fontId="13" fillId="5" borderId="6" xfId="0" applyNumberFormat="1" applyFont="1" applyFill="1" applyBorder="1" applyAlignment="1" applyProtection="1">
      <alignment horizontal="center"/>
      <protection locked="0"/>
    </xf>
    <xf numFmtId="39" fontId="13" fillId="5" borderId="7" xfId="0" applyNumberFormat="1" applyFont="1" applyFill="1" applyBorder="1" applyAlignment="1" applyProtection="1">
      <alignment horizontal="center"/>
      <protection locked="0"/>
    </xf>
    <xf numFmtId="39" fontId="13" fillId="5" borderId="5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protection hidden="1"/>
    </xf>
  </cellXfs>
  <cellStyles count="9">
    <cellStyle name="Link" xfId="7" builtinId="8"/>
    <cellStyle name="Link 2" xfId="2" xr:uid="{F184EC48-3156-4C0E-A714-AAB0B3DA1654}"/>
    <cellStyle name="Prozent" xfId="8" builtinId="5"/>
    <cellStyle name="Prozent 2" xfId="5" xr:uid="{E2233C8C-BA5C-4972-AD58-93C5661320D7}"/>
    <cellStyle name="Standard" xfId="0" builtinId="0"/>
    <cellStyle name="Standard 2" xfId="1" xr:uid="{358E6738-8BA4-4CA5-8298-7DF9007CBAC3}"/>
    <cellStyle name="Standard_Fremdwährung_1" xfId="4" xr:uid="{D11FFBAE-CEEE-44D4-A709-90B133E065B1}"/>
    <cellStyle name="Standard_USt-Probe" xfId="3" xr:uid="{C29A6286-0734-4BB1-BF7E-E2473D1240A5}"/>
    <cellStyle name="Standard_USt-Probe (2)" xfId="6" xr:uid="{2230872C-B694-4599-8F13-AE98E4E3073D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38100</xdr:rowOff>
    </xdr:from>
    <xdr:ext cx="1294261" cy="202359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751E93E2-52CC-4EFB-9443-D1C8CB6D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38100"/>
          <a:ext cx="1294261" cy="20235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193430</xdr:colOff>
      <xdr:row>0</xdr:row>
      <xdr:rowOff>47625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7E3B6E0C-C070-4C41-BF66-87A878CC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56705" y="47625"/>
          <a:ext cx="1751461" cy="27384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738329</xdr:colOff>
      <xdr:row>0</xdr:row>
      <xdr:rowOff>56395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F39FE2AB-ED40-45BA-B4ED-F8D1F7FCC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5629" y="56395"/>
          <a:ext cx="1751461" cy="273843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1048258</xdr:colOff>
      <xdr:row>0</xdr:row>
      <xdr:rowOff>46504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5FB5ECE6-4478-4DC3-B418-A869F3405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9408" y="46504"/>
          <a:ext cx="1751461" cy="273843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1099016</xdr:colOff>
      <xdr:row>0</xdr:row>
      <xdr:rowOff>60650</xdr:rowOff>
    </xdr:from>
    <xdr:ext cx="1751461" cy="273843"/>
    <xdr:pic>
      <xdr:nvPicPr>
        <xdr:cNvPr id="3" name="Grafik 2" descr="Schriftzug_NWB-Arbeitshilfe.png">
          <a:extLst>
            <a:ext uri="{FF2B5EF4-FFF2-40B4-BE49-F238E27FC236}">
              <a16:creationId xmlns:a16="http://schemas.microsoft.com/office/drawing/2014/main" id="{F0F4A0F1-1442-4DF1-9B6F-0680BB43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38291" y="60650"/>
          <a:ext cx="1751461" cy="273843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569286</xdr:colOff>
      <xdr:row>0</xdr:row>
      <xdr:rowOff>90047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5AF36FC4-527B-4223-8590-0107A5195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53515" y="90047"/>
          <a:ext cx="1751461" cy="273843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476758</xdr:colOff>
      <xdr:row>0</xdr:row>
      <xdr:rowOff>79161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C2585271-7CE6-41DE-802C-AB97FAC03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79501" y="79161"/>
          <a:ext cx="1751461" cy="273843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773206</xdr:colOff>
      <xdr:row>0</xdr:row>
      <xdr:rowOff>78441</xdr:rowOff>
    </xdr:from>
    <xdr:ext cx="1751461" cy="273843"/>
    <xdr:pic>
      <xdr:nvPicPr>
        <xdr:cNvPr id="3" name="Grafik 2" descr="Schriftzug_NWB-Arbeitshilfe.png">
          <a:extLst>
            <a:ext uri="{FF2B5EF4-FFF2-40B4-BE49-F238E27FC236}">
              <a16:creationId xmlns:a16="http://schemas.microsoft.com/office/drawing/2014/main" id="{FFF0AF74-759B-4F7C-843B-D9C3C70FE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88706" y="78441"/>
          <a:ext cx="1751461" cy="273843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448681</xdr:colOff>
      <xdr:row>0</xdr:row>
      <xdr:rowOff>71082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B20226B4-2F4B-4271-A9A6-0950F18C0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78538" y="71082"/>
          <a:ext cx="1751461" cy="273843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538842</xdr:colOff>
      <xdr:row>0</xdr:row>
      <xdr:rowOff>67280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614EC8F4-67CD-48C5-81DC-34447B1A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7471" y="67280"/>
          <a:ext cx="1751461" cy="273843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669471</xdr:colOff>
      <xdr:row>0</xdr:row>
      <xdr:rowOff>72723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15DE8831-3366-49BC-9EB6-98D2C86CD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39057" y="72723"/>
          <a:ext cx="1751461" cy="2738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115934</xdr:colOff>
      <xdr:row>0</xdr:row>
      <xdr:rowOff>57151</xdr:rowOff>
    </xdr:from>
    <xdr:ext cx="1340252" cy="209550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10B6DFCE-FD4D-4F58-B3D6-B6B68D5C4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7609" y="57151"/>
          <a:ext cx="1340252" cy="20955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320774</xdr:colOff>
      <xdr:row>0</xdr:row>
      <xdr:rowOff>77258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6FDF69CE-5923-402A-B6B6-8691F44AF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3874" y="77258"/>
          <a:ext cx="1751461" cy="273843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719463</xdr:colOff>
      <xdr:row>0</xdr:row>
      <xdr:rowOff>89504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FE3828E3-8C84-4E82-8423-1C0BFDB46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10677" y="89504"/>
          <a:ext cx="1751461" cy="273843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159581</xdr:colOff>
      <xdr:row>0</xdr:row>
      <xdr:rowOff>66006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48840D8E-274C-45C5-944C-FF820C69E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2267" y="66006"/>
          <a:ext cx="1751461" cy="273843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731082</xdr:colOff>
      <xdr:row>0</xdr:row>
      <xdr:rowOff>67366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467FED2E-E4BC-4E6A-BD46-FCA834DA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6557" y="67366"/>
          <a:ext cx="1751461" cy="273843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305755</xdr:colOff>
      <xdr:row>0</xdr:row>
      <xdr:rowOff>81601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17A6B7A5-BA5B-4EA9-90C2-9BBE084C3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68712" y="81601"/>
          <a:ext cx="1751461" cy="273843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420055</xdr:colOff>
      <xdr:row>0</xdr:row>
      <xdr:rowOff>57109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4264C510-2FFD-43C4-B774-D65B95C07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8080" y="57109"/>
          <a:ext cx="1751461" cy="273843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696280</xdr:colOff>
      <xdr:row>0</xdr:row>
      <xdr:rowOff>19009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628DAB5C-EB53-4658-9C4C-D6EF386F9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2755" y="19009"/>
          <a:ext cx="1751461" cy="273843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1457325</xdr:colOff>
      <xdr:row>0</xdr:row>
      <xdr:rowOff>74799</xdr:rowOff>
    </xdr:from>
    <xdr:ext cx="1463945" cy="228890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6FF81259-8474-4189-B6CC-584720D09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4275" y="74799"/>
          <a:ext cx="1463945" cy="22889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637770</xdr:colOff>
      <xdr:row>0</xdr:row>
      <xdr:rowOff>87045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305B0281-534C-47C3-B679-EE0748750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4141" y="87045"/>
          <a:ext cx="1751461" cy="273843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361950</xdr:colOff>
      <xdr:row>0</xdr:row>
      <xdr:rowOff>27843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44397C8C-8BA3-4607-BF51-FE45F02B6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2125" y="27843"/>
          <a:ext cx="1751461" cy="27384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504825</xdr:colOff>
      <xdr:row>0</xdr:row>
      <xdr:rowOff>28575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97BBD863-7500-43E6-A9AE-503E8CCA9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34600" y="28575"/>
          <a:ext cx="1751461" cy="273843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353380</xdr:colOff>
      <xdr:row>0</xdr:row>
      <xdr:rowOff>38059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E8D766CC-BCA2-4F3F-B2F1-F15EB287D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6105" y="38059"/>
          <a:ext cx="1751461" cy="273843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629605</xdr:colOff>
      <xdr:row>0</xdr:row>
      <xdr:rowOff>85684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4608389E-C976-47D4-AB8F-9E1563206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0305" y="85684"/>
          <a:ext cx="1751461" cy="273843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646066</xdr:colOff>
      <xdr:row>0</xdr:row>
      <xdr:rowOff>47585</xdr:rowOff>
    </xdr:from>
    <xdr:ext cx="1096825" cy="171490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95489CA6-F990-447B-A6C1-55B04FCE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2416" y="47585"/>
          <a:ext cx="1096825" cy="171490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239080</xdr:colOff>
      <xdr:row>0</xdr:row>
      <xdr:rowOff>28534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A1F53C17-EBD4-4947-8102-C455333CE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5380" y="28534"/>
          <a:ext cx="1751461" cy="273843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1323975</xdr:colOff>
      <xdr:row>0</xdr:row>
      <xdr:rowOff>19051</xdr:rowOff>
    </xdr:from>
    <xdr:ext cx="1560961" cy="244058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362E15E4-B78F-4100-ACD8-9770607E7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19051"/>
          <a:ext cx="1560961" cy="244058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820510</xdr:colOff>
      <xdr:row>0</xdr:row>
      <xdr:rowOff>73479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1A2F38A2-9F5B-43A1-BF64-3BFC8D4E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2696" y="73479"/>
          <a:ext cx="1751461" cy="273843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1466850</xdr:colOff>
      <xdr:row>0</xdr:row>
      <xdr:rowOff>38100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D52BDC89-26A3-44C2-BEB7-6DBC023D7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62950" y="38100"/>
          <a:ext cx="1751461" cy="273843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504825</xdr:colOff>
      <xdr:row>0</xdr:row>
      <xdr:rowOff>47625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23D69727-C926-4800-8FE6-2E7F40F5E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4650" y="47625"/>
          <a:ext cx="1751461" cy="273843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839561</xdr:colOff>
      <xdr:row>0</xdr:row>
      <xdr:rowOff>51708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79965D79-6779-4986-9912-98CBE76C1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08304" y="51708"/>
          <a:ext cx="1751461" cy="273843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457200</xdr:colOff>
      <xdr:row>0</xdr:row>
      <xdr:rowOff>38100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EE0AA6EE-BBDC-461C-B832-034AAB8D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0" y="38100"/>
          <a:ext cx="1751461" cy="27384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805543</xdr:colOff>
      <xdr:row>0</xdr:row>
      <xdr:rowOff>59872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1CF3EA38-3FCE-448A-B29E-AB00853F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9493" y="59872"/>
          <a:ext cx="1751461" cy="27384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0</xdr:row>
      <xdr:rowOff>66675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9339607F-A1B3-49F9-BA5B-06E7DDD06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67600" y="66675"/>
          <a:ext cx="1751461" cy="27384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0</xdr:row>
      <xdr:rowOff>66675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0A4120FF-634B-42A5-9411-2C7BD3BAC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34975" y="66675"/>
          <a:ext cx="1751461" cy="2738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1352550</xdr:colOff>
      <xdr:row>0</xdr:row>
      <xdr:rowOff>66675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2ADAE9D8-7FE8-4483-9421-1B3E0E18A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7750" y="66675"/>
          <a:ext cx="1751461" cy="27384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1261696</xdr:colOff>
      <xdr:row>0</xdr:row>
      <xdr:rowOff>57150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BE1B12D2-8DF3-4AFD-8F19-F0020E5D2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96446" y="57150"/>
          <a:ext cx="1751461" cy="273843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537796</xdr:colOff>
      <xdr:row>0</xdr:row>
      <xdr:rowOff>66675</xdr:rowOff>
    </xdr:from>
    <xdr:ext cx="1751461" cy="273843"/>
    <xdr:pic>
      <xdr:nvPicPr>
        <xdr:cNvPr id="2" name="Grafik 1" descr="Schriftzug_NWB-Arbeitshilfe.png">
          <a:extLst>
            <a:ext uri="{FF2B5EF4-FFF2-40B4-BE49-F238E27FC236}">
              <a16:creationId xmlns:a16="http://schemas.microsoft.com/office/drawing/2014/main" id="{5A0FC9D5-1F05-46B3-83B9-70DD12F9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2096" y="66675"/>
          <a:ext cx="1751461" cy="27384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e\Marcus\Schriftsteller\NWB%20Arbeitshilfe%20Jahresabschluss\03%20Erweiterung%20Arbeitshilfe%20-%20Steuerrecht\Handels-%20und%20Steuerecht_Jahresabschlusserstellung_Manuskript%20H&#252;bner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_Kennwort"/>
      <sheetName val="Allgemeine_Informationen"/>
      <sheetName val="Inhaltsverzeichnis"/>
      <sheetName val="Mandantendaten"/>
      <sheetName val="Ford. 1"/>
      <sheetName val="Ford. 2"/>
      <sheetName val="Ford. 3"/>
      <sheetName val="Ford. 4"/>
      <sheetName val="Ford. 5"/>
      <sheetName val="Bank 1"/>
      <sheetName val="ARAP 1"/>
      <sheetName val="ARAP 2"/>
      <sheetName val="ARAP 3"/>
      <sheetName val="Rückst. 1"/>
      <sheetName val="Rückst. 2"/>
      <sheetName val="Rückst. 3"/>
      <sheetName val="Rückst. 4"/>
      <sheetName val="Verb. 1"/>
      <sheetName val="Verb. 2"/>
      <sheetName val="Sonst. Verb. 1"/>
      <sheetName val="Sonst. Verb. 2"/>
      <sheetName val="Sonst. Verb. 3"/>
      <sheetName val="Sonst. Verb. 4"/>
      <sheetName val="Sonst. Verb. 5"/>
      <sheetName val="USt 1"/>
      <sheetName val="USt 2"/>
      <sheetName val="USt 3"/>
      <sheetName val="USt 4"/>
      <sheetName val="PRAP 1"/>
      <sheetName val="PRAP 2"/>
      <sheetName val="Lohn 1"/>
      <sheetName val="Lohn 2"/>
      <sheetName val="Verträge 1"/>
      <sheetName val="Kontenaufstellung"/>
    </sheetNames>
    <sheetDataSet>
      <sheetData sheetId="0"/>
      <sheetData sheetId="1"/>
      <sheetData sheetId="2"/>
      <sheetData sheetId="3">
        <row r="13">
          <cell r="C13" t="str">
            <v>Ja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enbank.nwb.d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datenbank.nwb.de/Dokument/Anzeigen/114463/" TargetMode="External"/><Relationship Id="rId1" Type="http://schemas.openxmlformats.org/officeDocument/2006/relationships/hyperlink" Target="https://datenbank.nwb.de/Dokument/Anzeigen/631321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1819C-5DD4-4F5D-A9C8-8EB4A2D69929}">
  <dimension ref="A1:J35"/>
  <sheetViews>
    <sheetView showGridLines="0" workbookViewId="0">
      <selection activeCell="B5" sqref="B5:G5"/>
    </sheetView>
  </sheetViews>
  <sheetFormatPr baseColWidth="10" defaultColWidth="0" defaultRowHeight="15" zeroHeight="1"/>
  <cols>
    <col min="1" max="1" width="1.7109375" customWidth="1"/>
    <col min="2" max="2" width="11.42578125" customWidth="1"/>
    <col min="3" max="3" width="14.140625" customWidth="1"/>
    <col min="4" max="6" width="11.42578125" customWidth="1"/>
    <col min="7" max="7" width="22.28515625" customWidth="1"/>
    <col min="8" max="9" width="11.42578125" customWidth="1"/>
    <col min="10" max="10" width="1.7109375" customWidth="1"/>
    <col min="11" max="16384" width="11.42578125" hidden="1"/>
  </cols>
  <sheetData>
    <row r="1" spans="2:9" ht="35.1" customHeight="1">
      <c r="B1" s="1079" t="s">
        <v>572</v>
      </c>
      <c r="C1" s="1080"/>
      <c r="D1" s="1080"/>
      <c r="E1" s="1080"/>
      <c r="F1" s="1080"/>
      <c r="G1" s="1080"/>
      <c r="H1" s="1080"/>
      <c r="I1" s="1080"/>
    </row>
    <row r="2" spans="2:9"/>
    <row r="3" spans="2:9">
      <c r="B3" s="1081" t="s">
        <v>0</v>
      </c>
      <c r="C3" s="1078"/>
      <c r="D3" s="1078"/>
      <c r="E3" s="1"/>
      <c r="F3" s="1"/>
      <c r="G3" s="1"/>
      <c r="H3" s="1"/>
      <c r="I3" s="1"/>
    </row>
    <row r="4" spans="2:9">
      <c r="B4" s="1082" t="s">
        <v>566</v>
      </c>
      <c r="C4" s="1083"/>
      <c r="D4" s="2"/>
      <c r="E4" s="2"/>
      <c r="F4" s="2"/>
      <c r="G4" s="1"/>
      <c r="H4" s="1"/>
      <c r="I4" s="1"/>
    </row>
    <row r="5" spans="2:9">
      <c r="B5" s="1084" t="s">
        <v>1</v>
      </c>
      <c r="C5" s="1084"/>
      <c r="D5" s="1084"/>
      <c r="E5" s="1084"/>
      <c r="F5" s="1084"/>
      <c r="G5" s="1084"/>
      <c r="H5" s="1"/>
      <c r="I5" s="1"/>
    </row>
    <row r="6" spans="2:9">
      <c r="B6" s="1085" t="s">
        <v>567</v>
      </c>
      <c r="C6" s="1086"/>
      <c r="D6" s="1086"/>
      <c r="E6" s="1086"/>
      <c r="F6" s="1086"/>
      <c r="G6" s="1086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081" t="s">
        <v>2</v>
      </c>
      <c r="C8" s="1078"/>
      <c r="D8" s="3"/>
      <c r="E8" s="3"/>
      <c r="F8" s="3"/>
      <c r="G8" s="3"/>
      <c r="H8" s="3"/>
      <c r="I8" s="3"/>
    </row>
    <row r="9" spans="2:9">
      <c r="B9" s="1077" t="s">
        <v>3</v>
      </c>
      <c r="C9" s="1078"/>
      <c r="D9" s="1078"/>
      <c r="E9" s="1078"/>
      <c r="F9" s="1078"/>
      <c r="G9" s="1078"/>
      <c r="H9" s="1"/>
      <c r="I9" s="1"/>
    </row>
    <row r="10" spans="2:9">
      <c r="B10" s="2"/>
      <c r="C10" s="1"/>
      <c r="D10" s="1"/>
      <c r="E10" s="1"/>
      <c r="F10" s="1"/>
      <c r="G10" s="1"/>
      <c r="H10" s="1"/>
      <c r="I10" s="1"/>
    </row>
    <row r="11" spans="2:9">
      <c r="B11" s="1081" t="s">
        <v>4</v>
      </c>
      <c r="C11" s="1078"/>
      <c r="D11" s="1078"/>
      <c r="E11" s="1"/>
      <c r="F11" s="1"/>
      <c r="G11" s="1"/>
      <c r="H11" s="1"/>
      <c r="I11" s="1"/>
    </row>
    <row r="12" spans="2:9">
      <c r="B12" s="1077" t="s">
        <v>5</v>
      </c>
      <c r="C12" s="1078"/>
      <c r="D12" s="1078"/>
      <c r="E12" s="1078"/>
      <c r="F12" s="1078"/>
      <c r="G12" s="1078"/>
      <c r="H12" s="1078"/>
      <c r="I12" s="1078"/>
    </row>
    <row r="13" spans="2:9">
      <c r="B13" s="1077" t="s">
        <v>6</v>
      </c>
      <c r="C13" s="1078"/>
      <c r="D13" s="1078"/>
      <c r="E13" s="1078"/>
      <c r="F13" s="1078"/>
      <c r="G13" s="1078"/>
      <c r="H13" s="1"/>
      <c r="I13" s="1"/>
    </row>
    <row r="14" spans="2:9">
      <c r="B14" s="1087" t="s">
        <v>7</v>
      </c>
      <c r="C14" s="1088"/>
      <c r="D14" s="4"/>
      <c r="E14" s="4"/>
      <c r="F14" s="4"/>
      <c r="G14" s="4"/>
      <c r="H14" s="4"/>
      <c r="I14" s="4"/>
    </row>
    <row r="15" spans="2:9">
      <c r="B15" s="1077" t="s">
        <v>8</v>
      </c>
      <c r="C15" s="1078"/>
      <c r="D15" s="1078"/>
      <c r="E15" s="1078"/>
      <c r="F15" s="1078"/>
      <c r="G15" s="1078"/>
      <c r="H15" s="1078"/>
      <c r="I15" s="1"/>
    </row>
    <row r="16" spans="2:9">
      <c r="B16" s="1077" t="s">
        <v>9</v>
      </c>
      <c r="C16" s="1078"/>
      <c r="D16" s="1078"/>
      <c r="E16" s="1078"/>
      <c r="F16" s="1078"/>
      <c r="G16" s="1078"/>
      <c r="H16" s="1"/>
      <c r="I16" s="1"/>
    </row>
    <row r="17" spans="2:9">
      <c r="B17" s="2"/>
      <c r="C17" s="1"/>
      <c r="D17" s="1"/>
      <c r="E17" s="1"/>
      <c r="F17" s="1"/>
      <c r="G17" s="1"/>
      <c r="H17" s="1"/>
      <c r="I17" s="1"/>
    </row>
    <row r="18" spans="2:9" s="1074" customFormat="1">
      <c r="B18" s="1081" t="s">
        <v>568</v>
      </c>
      <c r="C18" s="1078"/>
      <c r="D18" s="1078"/>
      <c r="E18" s="1"/>
      <c r="F18" s="1"/>
      <c r="G18" s="1"/>
      <c r="H18" s="1"/>
      <c r="I18" s="1"/>
    </row>
    <row r="19" spans="2:9" s="1074" customFormat="1">
      <c r="B19" s="1071" t="s">
        <v>569</v>
      </c>
      <c r="C19" s="1"/>
      <c r="D19" s="1"/>
      <c r="E19" s="1"/>
      <c r="F19" s="1"/>
      <c r="G19" s="1"/>
      <c r="H19" s="1"/>
      <c r="I19" s="1"/>
    </row>
    <row r="20" spans="2:9" s="1074" customFormat="1">
      <c r="B20" s="1071"/>
      <c r="C20" s="1"/>
      <c r="D20" s="1"/>
      <c r="E20" s="1"/>
      <c r="F20" s="1"/>
      <c r="G20" s="1"/>
      <c r="H20" s="1"/>
      <c r="I20" s="1"/>
    </row>
    <row r="21" spans="2:9">
      <c r="B21" s="1081" t="s">
        <v>570</v>
      </c>
      <c r="C21" s="1078"/>
      <c r="D21" s="1078"/>
      <c r="E21" s="1"/>
      <c r="F21" s="1"/>
      <c r="G21" s="1"/>
      <c r="H21" s="1"/>
      <c r="I21" s="1"/>
    </row>
    <row r="22" spans="2:9">
      <c r="B22" s="1077" t="s">
        <v>10</v>
      </c>
      <c r="C22" s="1078"/>
      <c r="D22" s="1078"/>
      <c r="E22" s="1078"/>
      <c r="F22" s="1078"/>
      <c r="G22" s="1078"/>
      <c r="H22" s="1078"/>
      <c r="I22" s="1078"/>
    </row>
    <row r="23" spans="2:9">
      <c r="B23" s="1077" t="s">
        <v>11</v>
      </c>
      <c r="C23" s="1078"/>
      <c r="D23" s="1078"/>
      <c r="E23" s="1078"/>
      <c r="F23" s="1078"/>
      <c r="G23" s="1078"/>
      <c r="H23" s="1078"/>
      <c r="I23" s="1078"/>
    </row>
    <row r="24" spans="2:9">
      <c r="B24" s="1077" t="s">
        <v>17</v>
      </c>
      <c r="C24" s="1078"/>
      <c r="D24" s="1078"/>
      <c r="E24" s="1080"/>
      <c r="F24" s="1080"/>
      <c r="G24" s="1080"/>
      <c r="H24" s="1080"/>
      <c r="I24" s="1"/>
    </row>
    <row r="25" spans="2:9" s="1074" customFormat="1">
      <c r="B25" s="1071"/>
      <c r="C25" s="1072"/>
      <c r="D25" s="1072"/>
      <c r="E25" s="1073"/>
      <c r="F25" s="1073"/>
      <c r="G25" s="1073"/>
      <c r="H25" s="1073"/>
      <c r="I25" s="1"/>
    </row>
    <row r="26" spans="2:9">
      <c r="B26" s="1081" t="s">
        <v>571</v>
      </c>
      <c r="C26" s="1078"/>
      <c r="D26" s="1"/>
      <c r="E26" s="1"/>
      <c r="F26" s="1"/>
      <c r="G26" s="1"/>
      <c r="H26" s="1"/>
      <c r="I26" s="1"/>
    </row>
    <row r="27" spans="2:9">
      <c r="B27" s="1077" t="s">
        <v>12</v>
      </c>
      <c r="C27" s="1078"/>
      <c r="D27" s="1078"/>
      <c r="E27" s="1078"/>
      <c r="F27" s="1"/>
      <c r="G27" s="1"/>
      <c r="H27" s="1"/>
      <c r="I27" s="1"/>
    </row>
    <row r="28" spans="2:9">
      <c r="B28" s="1077" t="s">
        <v>13</v>
      </c>
      <c r="C28" s="1078"/>
      <c r="D28" s="1078"/>
      <c r="E28" s="1"/>
      <c r="F28" s="1"/>
      <c r="G28" s="1"/>
      <c r="H28" s="1"/>
      <c r="I28" s="1"/>
    </row>
    <row r="29" spans="2:9">
      <c r="B29" s="1077" t="s">
        <v>14</v>
      </c>
      <c r="C29" s="1078"/>
      <c r="D29" s="1080"/>
      <c r="E29" s="1080"/>
      <c r="F29" s="1"/>
      <c r="G29" s="1"/>
      <c r="H29" s="1"/>
      <c r="I29" s="1"/>
    </row>
    <row r="30" spans="2:9">
      <c r="B30" s="1077" t="s">
        <v>15</v>
      </c>
      <c r="C30" s="1078"/>
      <c r="D30" s="1"/>
      <c r="E30" s="1"/>
      <c r="F30" s="1"/>
      <c r="G30" s="1"/>
      <c r="H30" s="1"/>
      <c r="I30" s="1"/>
    </row>
    <row r="31" spans="2:9">
      <c r="B31" s="1077" t="s">
        <v>16</v>
      </c>
      <c r="C31" s="1078"/>
      <c r="D31" s="1"/>
      <c r="E31" s="1"/>
      <c r="F31" s="1"/>
      <c r="G31" s="1"/>
      <c r="H31" s="1"/>
      <c r="I31" s="1"/>
    </row>
    <row r="32" spans="2:9">
      <c r="B32" s="2"/>
      <c r="C32" s="1"/>
      <c r="D32" s="1"/>
      <c r="E32" s="1"/>
      <c r="F32" s="1"/>
      <c r="G32" s="1"/>
      <c r="H32" s="1"/>
      <c r="I32" s="1"/>
    </row>
    <row r="33" spans="2:9">
      <c r="B33" s="1077"/>
      <c r="C33" s="1078"/>
      <c r="D33" s="1078"/>
      <c r="E33" s="1080"/>
      <c r="F33" s="1080"/>
      <c r="G33" s="1080"/>
      <c r="H33" s="1080"/>
      <c r="I33" s="1"/>
    </row>
    <row r="34" spans="2:9"/>
    <row r="35" spans="2:9"/>
  </sheetData>
  <sheetProtection algorithmName="SHA-512" hashValue="7WiwGQEX6RDLpjA4KWqsusLrhvJOz3Jfjq1ZagiCLhPw5Sfm7gotxK4E9LcEup6swowHp9tkMvH+Qo248BUNWA==" saltValue="vM8ZKldRy3b/a4wfNXmqpg==" spinCount="100000" sheet="1" objects="1" scenarios="1"/>
  <mergeCells count="25">
    <mergeCell ref="B33:H33"/>
    <mergeCell ref="B16:G16"/>
    <mergeCell ref="B21:D21"/>
    <mergeCell ref="B22:I22"/>
    <mergeCell ref="B23:I23"/>
    <mergeCell ref="B26:C26"/>
    <mergeCell ref="B27:E27"/>
    <mergeCell ref="B28:D28"/>
    <mergeCell ref="B29:E29"/>
    <mergeCell ref="B30:C30"/>
    <mergeCell ref="B31:C31"/>
    <mergeCell ref="B24:H24"/>
    <mergeCell ref="B18:D18"/>
    <mergeCell ref="B15:H15"/>
    <mergeCell ref="B1:I1"/>
    <mergeCell ref="B3:D3"/>
    <mergeCell ref="B4:C4"/>
    <mergeCell ref="B5:G5"/>
    <mergeCell ref="B6:G6"/>
    <mergeCell ref="B8:C8"/>
    <mergeCell ref="B9:G9"/>
    <mergeCell ref="B11:D11"/>
    <mergeCell ref="B12:I12"/>
    <mergeCell ref="B13:G13"/>
    <mergeCell ref="B14:C14"/>
  </mergeCells>
  <hyperlinks>
    <hyperlink ref="B5:G5" r:id="rId1" display="Vorliegen einer aktuelleren Version in der NWB Datenbank prüfen." xr:uid="{356F3F7D-8B3C-43C1-A2D6-E33C07400F56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EEFC-0C86-4771-AFDA-2C4D7A46B0A3}">
  <sheetPr>
    <pageSetUpPr fitToPage="1"/>
  </sheetPr>
  <dimension ref="A1:M36"/>
  <sheetViews>
    <sheetView showGridLines="0" zoomScaleNormal="100" workbookViewId="0">
      <pane ySplit="8" topLeftCell="A9" activePane="bottomLeft" state="frozen"/>
      <selection pane="bottomLeft" activeCell="B9" sqref="B9"/>
    </sheetView>
  </sheetViews>
  <sheetFormatPr baseColWidth="10" defaultColWidth="0" defaultRowHeight="15"/>
  <cols>
    <col min="1" max="1" width="1.7109375" style="912" customWidth="1"/>
    <col min="2" max="2" width="18.28515625" style="912" customWidth="1"/>
    <col min="3" max="3" width="22" style="912" customWidth="1"/>
    <col min="4" max="4" width="22.5703125" style="912" customWidth="1"/>
    <col min="5" max="5" width="19.140625" style="912" customWidth="1"/>
    <col min="6" max="6" width="18.28515625" style="912" customWidth="1"/>
    <col min="7" max="7" width="11.42578125" style="912" customWidth="1"/>
    <col min="8" max="8" width="17.5703125" style="912" customWidth="1"/>
    <col min="9" max="9" width="18.28515625" style="912" customWidth="1"/>
    <col min="10" max="10" width="15.140625" style="912" customWidth="1"/>
    <col min="11" max="11" width="30" style="912" customWidth="1"/>
    <col min="12" max="12" width="1.7109375" style="912" customWidth="1"/>
    <col min="13" max="13" width="21.85546875" style="912" customWidth="1"/>
    <col min="14" max="14" width="11.42578125" style="912" hidden="1" customWidth="1"/>
    <col min="15" max="16384" width="11.42578125" style="912" hidden="1"/>
  </cols>
  <sheetData>
    <row r="1" spans="2:13" ht="35.1" customHeight="1">
      <c r="B1" s="1131" t="s">
        <v>373</v>
      </c>
      <c r="C1" s="1149"/>
      <c r="D1" s="1149"/>
      <c r="E1" s="1149"/>
      <c r="F1" s="1149"/>
      <c r="G1" s="1149"/>
      <c r="H1" s="1149"/>
      <c r="I1" s="928"/>
      <c r="J1" s="928"/>
      <c r="K1" s="928"/>
      <c r="M1" s="913" t="s">
        <v>269</v>
      </c>
    </row>
    <row r="2" spans="2:13">
      <c r="B2" s="1135" t="s">
        <v>317</v>
      </c>
      <c r="C2" s="1148"/>
      <c r="D2" s="1148"/>
      <c r="E2" s="1148"/>
      <c r="F2" s="1148"/>
      <c r="G2" s="915"/>
      <c r="H2" s="915"/>
      <c r="I2" s="915"/>
      <c r="J2" s="915"/>
      <c r="K2" s="915"/>
      <c r="M2" s="913"/>
    </row>
    <row r="3" spans="2:13">
      <c r="B3" s="1175" t="s">
        <v>396</v>
      </c>
      <c r="C3" s="1176"/>
      <c r="D3" s="1176"/>
      <c r="E3" s="1176"/>
      <c r="F3" s="1176"/>
      <c r="G3" s="978"/>
      <c r="H3" s="978"/>
      <c r="I3" s="978"/>
      <c r="J3" s="978"/>
      <c r="K3" s="915"/>
      <c r="M3" s="913"/>
    </row>
    <row r="4" spans="2:13" ht="15" customHeight="1">
      <c r="B4" s="916"/>
      <c r="C4" s="917"/>
      <c r="D4" s="917"/>
      <c r="E4" s="917"/>
      <c r="F4" s="917"/>
      <c r="K4" s="979" t="s">
        <v>314</v>
      </c>
    </row>
    <row r="5" spans="2:13">
      <c r="B5" s="18" t="s">
        <v>75</v>
      </c>
      <c r="C5" s="1157" t="str">
        <f>Mandantendaten!C3</f>
        <v>Max Mustermann</v>
      </c>
      <c r="D5" s="1174"/>
      <c r="E5" s="1174"/>
      <c r="F5" s="1174"/>
      <c r="G5" s="1174"/>
      <c r="H5" s="1174"/>
      <c r="I5" s="1174"/>
      <c r="K5" s="64">
        <f>Mandantendaten!C5</f>
        <v>44561</v>
      </c>
    </row>
    <row r="6" spans="2:13">
      <c r="B6" s="60"/>
      <c r="C6" s="60"/>
      <c r="D6" s="60"/>
      <c r="E6" s="63"/>
      <c r="F6" s="63"/>
      <c r="G6" s="63"/>
      <c r="H6" s="63"/>
      <c r="I6" s="60"/>
      <c r="J6" s="63"/>
      <c r="K6" s="60"/>
    </row>
    <row r="7" spans="2:13">
      <c r="B7" s="888" t="s">
        <v>121</v>
      </c>
      <c r="C7" s="1173" t="s">
        <v>114</v>
      </c>
      <c r="D7" s="1173"/>
      <c r="E7" s="1173" t="s">
        <v>122</v>
      </c>
      <c r="F7" s="1173"/>
      <c r="G7" s="888" t="s">
        <v>120</v>
      </c>
      <c r="H7" s="1173" t="s">
        <v>123</v>
      </c>
      <c r="I7" s="1173"/>
      <c r="J7" s="888" t="s">
        <v>120</v>
      </c>
      <c r="K7" s="888" t="s">
        <v>124</v>
      </c>
    </row>
    <row r="8" spans="2:13">
      <c r="B8" s="134"/>
      <c r="C8" s="135" t="s">
        <v>543</v>
      </c>
      <c r="D8" s="135" t="s">
        <v>542</v>
      </c>
      <c r="E8" s="135" t="s">
        <v>541</v>
      </c>
      <c r="F8" s="135" t="s">
        <v>542</v>
      </c>
      <c r="G8" s="601"/>
      <c r="H8" s="135" t="s">
        <v>541</v>
      </c>
      <c r="I8" s="135" t="s">
        <v>544</v>
      </c>
      <c r="J8" s="136"/>
      <c r="K8" s="137"/>
    </row>
    <row r="9" spans="2:13">
      <c r="B9" s="125" t="s">
        <v>125</v>
      </c>
      <c r="C9" s="469" t="s">
        <v>126</v>
      </c>
      <c r="D9" s="469">
        <v>1240</v>
      </c>
      <c r="E9" s="891">
        <v>750000</v>
      </c>
      <c r="F9" s="139">
        <v>749000</v>
      </c>
      <c r="G9" s="605">
        <f>F9-E9</f>
        <v>-1000</v>
      </c>
      <c r="H9" s="140">
        <v>42000</v>
      </c>
      <c r="I9" s="139">
        <v>43000</v>
      </c>
      <c r="J9" s="605">
        <f t="shared" ref="J9:J34" si="0">I9-H9</f>
        <v>1000</v>
      </c>
      <c r="K9" s="152" t="s">
        <v>127</v>
      </c>
    </row>
    <row r="10" spans="2:13">
      <c r="B10" s="127"/>
      <c r="C10" s="470"/>
      <c r="D10" s="470"/>
      <c r="E10" s="889"/>
      <c r="F10" s="143"/>
      <c r="G10" s="606">
        <f t="shared" ref="G10:G34" si="1">F10-E10</f>
        <v>0</v>
      </c>
      <c r="H10" s="144"/>
      <c r="I10" s="143"/>
      <c r="J10" s="606">
        <f t="shared" si="0"/>
        <v>0</v>
      </c>
      <c r="K10" s="155"/>
    </row>
    <row r="11" spans="2:13">
      <c r="B11" s="127"/>
      <c r="C11" s="470"/>
      <c r="D11" s="470"/>
      <c r="E11" s="889"/>
      <c r="F11" s="143"/>
      <c r="G11" s="606">
        <f t="shared" si="1"/>
        <v>0</v>
      </c>
      <c r="H11" s="144"/>
      <c r="I11" s="143"/>
      <c r="J11" s="606">
        <f t="shared" si="0"/>
        <v>0</v>
      </c>
      <c r="K11" s="155"/>
    </row>
    <row r="12" spans="2:13">
      <c r="B12" s="127"/>
      <c r="C12" s="470"/>
      <c r="D12" s="470"/>
      <c r="E12" s="889"/>
      <c r="F12" s="143"/>
      <c r="G12" s="606">
        <f t="shared" si="1"/>
        <v>0</v>
      </c>
      <c r="H12" s="144"/>
      <c r="I12" s="143"/>
      <c r="J12" s="606">
        <f t="shared" si="0"/>
        <v>0</v>
      </c>
      <c r="K12" s="155"/>
    </row>
    <row r="13" spans="2:13">
      <c r="B13" s="127"/>
      <c r="C13" s="470"/>
      <c r="D13" s="470"/>
      <c r="E13" s="889"/>
      <c r="F13" s="143"/>
      <c r="G13" s="606">
        <f t="shared" si="1"/>
        <v>0</v>
      </c>
      <c r="H13" s="144"/>
      <c r="I13" s="143"/>
      <c r="J13" s="606">
        <f t="shared" si="0"/>
        <v>0</v>
      </c>
      <c r="K13" s="155"/>
    </row>
    <row r="14" spans="2:13">
      <c r="B14" s="127"/>
      <c r="C14" s="470"/>
      <c r="D14" s="470"/>
      <c r="E14" s="889"/>
      <c r="F14" s="143"/>
      <c r="G14" s="606">
        <f t="shared" si="1"/>
        <v>0</v>
      </c>
      <c r="H14" s="144"/>
      <c r="I14" s="143"/>
      <c r="J14" s="606">
        <f t="shared" si="0"/>
        <v>0</v>
      </c>
      <c r="K14" s="155"/>
    </row>
    <row r="15" spans="2:13">
      <c r="B15" s="127"/>
      <c r="C15" s="470"/>
      <c r="D15" s="470"/>
      <c r="E15" s="889"/>
      <c r="F15" s="143"/>
      <c r="G15" s="606">
        <f t="shared" si="1"/>
        <v>0</v>
      </c>
      <c r="H15" s="144"/>
      <c r="I15" s="143"/>
      <c r="J15" s="606">
        <f t="shared" si="0"/>
        <v>0</v>
      </c>
      <c r="K15" s="155"/>
    </row>
    <row r="16" spans="2:13">
      <c r="B16" s="127"/>
      <c r="C16" s="470"/>
      <c r="D16" s="470"/>
      <c r="E16" s="889"/>
      <c r="F16" s="143"/>
      <c r="G16" s="606">
        <f t="shared" si="1"/>
        <v>0</v>
      </c>
      <c r="H16" s="144"/>
      <c r="I16" s="143"/>
      <c r="J16" s="606">
        <f t="shared" si="0"/>
        <v>0</v>
      </c>
      <c r="K16" s="155"/>
    </row>
    <row r="17" spans="2:11">
      <c r="B17" s="127"/>
      <c r="C17" s="470"/>
      <c r="D17" s="470"/>
      <c r="E17" s="889"/>
      <c r="F17" s="143"/>
      <c r="G17" s="606">
        <f t="shared" si="1"/>
        <v>0</v>
      </c>
      <c r="H17" s="144"/>
      <c r="I17" s="143"/>
      <c r="J17" s="606">
        <f t="shared" si="0"/>
        <v>0</v>
      </c>
      <c r="K17" s="155"/>
    </row>
    <row r="18" spans="2:11">
      <c r="B18" s="127"/>
      <c r="C18" s="470"/>
      <c r="D18" s="470"/>
      <c r="E18" s="889"/>
      <c r="F18" s="143"/>
      <c r="G18" s="606">
        <f t="shared" si="1"/>
        <v>0</v>
      </c>
      <c r="H18" s="144"/>
      <c r="I18" s="143"/>
      <c r="J18" s="606">
        <f t="shared" si="0"/>
        <v>0</v>
      </c>
      <c r="K18" s="155"/>
    </row>
    <row r="19" spans="2:11">
      <c r="B19" s="127"/>
      <c r="C19" s="470"/>
      <c r="D19" s="470"/>
      <c r="E19" s="889"/>
      <c r="F19" s="143"/>
      <c r="G19" s="606">
        <f t="shared" si="1"/>
        <v>0</v>
      </c>
      <c r="H19" s="144"/>
      <c r="I19" s="143"/>
      <c r="J19" s="606">
        <f t="shared" si="0"/>
        <v>0</v>
      </c>
      <c r="K19" s="155"/>
    </row>
    <row r="20" spans="2:11">
      <c r="B20" s="127"/>
      <c r="C20" s="470"/>
      <c r="D20" s="470"/>
      <c r="E20" s="889"/>
      <c r="F20" s="143"/>
      <c r="G20" s="606">
        <f t="shared" si="1"/>
        <v>0</v>
      </c>
      <c r="H20" s="144"/>
      <c r="I20" s="143"/>
      <c r="J20" s="606">
        <f t="shared" si="0"/>
        <v>0</v>
      </c>
      <c r="K20" s="155"/>
    </row>
    <row r="21" spans="2:11">
      <c r="B21" s="127"/>
      <c r="C21" s="470"/>
      <c r="D21" s="470"/>
      <c r="E21" s="889"/>
      <c r="F21" s="143"/>
      <c r="G21" s="606">
        <f t="shared" si="1"/>
        <v>0</v>
      </c>
      <c r="H21" s="144"/>
      <c r="I21" s="143"/>
      <c r="J21" s="606">
        <f t="shared" si="0"/>
        <v>0</v>
      </c>
      <c r="K21" s="155"/>
    </row>
    <row r="22" spans="2:11">
      <c r="B22" s="127"/>
      <c r="C22" s="470"/>
      <c r="D22" s="470"/>
      <c r="E22" s="889"/>
      <c r="F22" s="143"/>
      <c r="G22" s="606">
        <f t="shared" si="1"/>
        <v>0</v>
      </c>
      <c r="H22" s="144"/>
      <c r="I22" s="143"/>
      <c r="J22" s="606">
        <f t="shared" si="0"/>
        <v>0</v>
      </c>
      <c r="K22" s="155"/>
    </row>
    <row r="23" spans="2:11">
      <c r="B23" s="127"/>
      <c r="C23" s="470"/>
      <c r="D23" s="470"/>
      <c r="E23" s="889"/>
      <c r="F23" s="143"/>
      <c r="G23" s="606">
        <f t="shared" si="1"/>
        <v>0</v>
      </c>
      <c r="H23" s="144"/>
      <c r="I23" s="143"/>
      <c r="J23" s="606">
        <f t="shared" si="0"/>
        <v>0</v>
      </c>
      <c r="K23" s="155"/>
    </row>
    <row r="24" spans="2:11">
      <c r="B24" s="127"/>
      <c r="C24" s="470"/>
      <c r="D24" s="470"/>
      <c r="E24" s="889"/>
      <c r="F24" s="143"/>
      <c r="G24" s="606">
        <f t="shared" si="1"/>
        <v>0</v>
      </c>
      <c r="H24" s="144"/>
      <c r="I24" s="143"/>
      <c r="J24" s="606">
        <f t="shared" si="0"/>
        <v>0</v>
      </c>
      <c r="K24" s="155"/>
    </row>
    <row r="25" spans="2:11">
      <c r="B25" s="127"/>
      <c r="C25" s="470"/>
      <c r="D25" s="470"/>
      <c r="E25" s="889"/>
      <c r="F25" s="143"/>
      <c r="G25" s="606">
        <f t="shared" si="1"/>
        <v>0</v>
      </c>
      <c r="H25" s="144"/>
      <c r="I25" s="143"/>
      <c r="J25" s="606">
        <f t="shared" si="0"/>
        <v>0</v>
      </c>
      <c r="K25" s="155"/>
    </row>
    <row r="26" spans="2:11">
      <c r="B26" s="127"/>
      <c r="C26" s="470"/>
      <c r="D26" s="470"/>
      <c r="E26" s="889"/>
      <c r="F26" s="143"/>
      <c r="G26" s="606">
        <f t="shared" si="1"/>
        <v>0</v>
      </c>
      <c r="H26" s="144"/>
      <c r="I26" s="143"/>
      <c r="J26" s="606">
        <f t="shared" si="0"/>
        <v>0</v>
      </c>
      <c r="K26" s="155"/>
    </row>
    <row r="27" spans="2:11">
      <c r="B27" s="127"/>
      <c r="C27" s="470"/>
      <c r="D27" s="470"/>
      <c r="E27" s="889"/>
      <c r="F27" s="143"/>
      <c r="G27" s="606">
        <f t="shared" si="1"/>
        <v>0</v>
      </c>
      <c r="H27" s="144"/>
      <c r="I27" s="143"/>
      <c r="J27" s="606">
        <f t="shared" si="0"/>
        <v>0</v>
      </c>
      <c r="K27" s="155"/>
    </row>
    <row r="28" spans="2:11">
      <c r="B28" s="127"/>
      <c r="C28" s="470"/>
      <c r="D28" s="470"/>
      <c r="E28" s="889"/>
      <c r="F28" s="143"/>
      <c r="G28" s="606">
        <f t="shared" si="1"/>
        <v>0</v>
      </c>
      <c r="H28" s="144"/>
      <c r="I28" s="143"/>
      <c r="J28" s="606">
        <f t="shared" si="0"/>
        <v>0</v>
      </c>
      <c r="K28" s="155"/>
    </row>
    <row r="29" spans="2:11">
      <c r="B29" s="127"/>
      <c r="C29" s="470"/>
      <c r="D29" s="470"/>
      <c r="E29" s="889"/>
      <c r="F29" s="143"/>
      <c r="G29" s="606">
        <f t="shared" si="1"/>
        <v>0</v>
      </c>
      <c r="H29" s="144"/>
      <c r="I29" s="143"/>
      <c r="J29" s="606">
        <f t="shared" si="0"/>
        <v>0</v>
      </c>
      <c r="K29" s="155"/>
    </row>
    <row r="30" spans="2:11">
      <c r="B30" s="127"/>
      <c r="C30" s="470"/>
      <c r="D30" s="470"/>
      <c r="E30" s="889"/>
      <c r="F30" s="143"/>
      <c r="G30" s="606">
        <f t="shared" si="1"/>
        <v>0</v>
      </c>
      <c r="H30" s="144"/>
      <c r="I30" s="143"/>
      <c r="J30" s="606">
        <f t="shared" si="0"/>
        <v>0</v>
      </c>
      <c r="K30" s="155"/>
    </row>
    <row r="31" spans="2:11">
      <c r="B31" s="127"/>
      <c r="C31" s="470"/>
      <c r="D31" s="470"/>
      <c r="E31" s="889"/>
      <c r="F31" s="143"/>
      <c r="G31" s="606">
        <f t="shared" si="1"/>
        <v>0</v>
      </c>
      <c r="H31" s="144"/>
      <c r="I31" s="143"/>
      <c r="J31" s="606">
        <f t="shared" si="0"/>
        <v>0</v>
      </c>
      <c r="K31" s="155"/>
    </row>
    <row r="32" spans="2:11">
      <c r="B32" s="127"/>
      <c r="C32" s="470"/>
      <c r="D32" s="470"/>
      <c r="E32" s="889"/>
      <c r="F32" s="143"/>
      <c r="G32" s="606">
        <f t="shared" si="1"/>
        <v>0</v>
      </c>
      <c r="H32" s="144"/>
      <c r="I32" s="143"/>
      <c r="J32" s="606">
        <f t="shared" si="0"/>
        <v>0</v>
      </c>
      <c r="K32" s="155"/>
    </row>
    <row r="33" spans="2:11">
      <c r="B33" s="127"/>
      <c r="C33" s="470"/>
      <c r="D33" s="470"/>
      <c r="E33" s="889"/>
      <c r="F33" s="143"/>
      <c r="G33" s="606">
        <f t="shared" si="1"/>
        <v>0</v>
      </c>
      <c r="H33" s="144"/>
      <c r="I33" s="143"/>
      <c r="J33" s="606">
        <f t="shared" si="0"/>
        <v>0</v>
      </c>
      <c r="K33" s="155"/>
    </row>
    <row r="34" spans="2:11">
      <c r="B34" s="129"/>
      <c r="C34" s="471"/>
      <c r="D34" s="471"/>
      <c r="E34" s="890"/>
      <c r="F34" s="146"/>
      <c r="G34" s="607">
        <f t="shared" si="1"/>
        <v>0</v>
      </c>
      <c r="H34" s="147"/>
      <c r="I34" s="146"/>
      <c r="J34" s="607">
        <f t="shared" si="0"/>
        <v>0</v>
      </c>
      <c r="K34" s="158"/>
    </row>
    <row r="35" spans="2:11">
      <c r="B35" s="950"/>
      <c r="C35" s="950"/>
      <c r="D35" s="950"/>
      <c r="E35" s="963"/>
      <c r="F35" s="952"/>
      <c r="G35" s="148"/>
      <c r="H35" s="953"/>
      <c r="I35" s="980"/>
      <c r="J35" s="148"/>
      <c r="K35" s="963"/>
    </row>
    <row r="36" spans="2:11">
      <c r="B36" s="83" t="s">
        <v>91</v>
      </c>
      <c r="C36" s="83"/>
      <c r="D36" s="83"/>
      <c r="E36" s="85">
        <f t="shared" ref="E36:J36" si="2">SUM(E9:E35)</f>
        <v>750000</v>
      </c>
      <c r="F36" s="85">
        <f t="shared" si="2"/>
        <v>749000</v>
      </c>
      <c r="G36" s="85">
        <f t="shared" si="2"/>
        <v>-1000</v>
      </c>
      <c r="H36" s="85">
        <f t="shared" si="2"/>
        <v>42000</v>
      </c>
      <c r="I36" s="85">
        <f t="shared" si="2"/>
        <v>43000</v>
      </c>
      <c r="J36" s="85">
        <f t="shared" si="2"/>
        <v>1000</v>
      </c>
      <c r="K36" s="897"/>
    </row>
  </sheetData>
  <sheetProtection algorithmName="SHA-512" hashValue="BXb0OLwM6+n1SzcR8HyoktI3EicsT1ZoIGfuD8NKDCFAgl7ih7WXw8hCR7QCzedGbwM09iictz4tuot9PmPuzQ==" saltValue="fdRvKdWYoY+kqVc+ZLAe/g==" spinCount="100000" sheet="1" objects="1" scenarios="1"/>
  <mergeCells count="7">
    <mergeCell ref="C7:D7"/>
    <mergeCell ref="E7:F7"/>
    <mergeCell ref="H7:I7"/>
    <mergeCell ref="C5:I5"/>
    <mergeCell ref="B1:H1"/>
    <mergeCell ref="B2:F2"/>
    <mergeCell ref="B3:F3"/>
  </mergeCells>
  <hyperlinks>
    <hyperlink ref="M1" location="Inhaltsverzeichnis!A1" display="zum Inhaltsverzeichnis" xr:uid="{9E0FFB90-F038-4F58-B6A2-855B2238AF53}"/>
  </hyperlinks>
  <pageMargins left="0.7" right="0.7" top="0.78740157499999996" bottom="0.78740157499999996" header="0.3" footer="0.3"/>
  <pageSetup paperSize="9" scale="67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03F2B-6EB5-469B-971F-46945D60E29D}">
  <sheetPr>
    <pageSetUpPr fitToPage="1"/>
  </sheetPr>
  <dimension ref="A1:I39"/>
  <sheetViews>
    <sheetView showGridLines="0" zoomScaleNormal="100" workbookViewId="0">
      <pane ySplit="5" topLeftCell="A6" activePane="bottomLeft" state="frozen"/>
      <selection pane="bottomLeft" activeCell="E3" sqref="E3:G3"/>
    </sheetView>
  </sheetViews>
  <sheetFormatPr baseColWidth="10" defaultColWidth="0" defaultRowHeight="15" zeroHeight="1"/>
  <cols>
    <col min="1" max="1" width="1.7109375" customWidth="1"/>
    <col min="2" max="2" width="30.7109375" customWidth="1"/>
    <col min="3" max="3" width="11.42578125" customWidth="1"/>
    <col min="4" max="4" width="14.28515625" customWidth="1"/>
    <col min="5" max="5" width="17.85546875" customWidth="1"/>
    <col min="6" max="6" width="21.28515625" customWidth="1"/>
    <col min="7" max="7" width="16.140625" customWidth="1"/>
    <col min="8" max="8" width="1.7109375" customWidth="1"/>
    <col min="9" max="9" width="20.85546875" customWidth="1"/>
    <col min="10" max="16384" width="11.42578125" hidden="1"/>
  </cols>
  <sheetData>
    <row r="1" spans="2:9" ht="35.1" customHeight="1">
      <c r="B1" s="1079" t="s">
        <v>374</v>
      </c>
      <c r="C1" s="1183"/>
      <c r="D1" s="1183"/>
      <c r="E1" s="1183"/>
      <c r="F1" s="1183"/>
      <c r="G1" s="1183"/>
      <c r="I1" s="464" t="s">
        <v>269</v>
      </c>
    </row>
    <row r="2" spans="2:9" s="611" customFormat="1">
      <c r="B2" s="1166" t="s">
        <v>329</v>
      </c>
      <c r="C2" s="1166"/>
      <c r="D2" s="1166"/>
      <c r="E2" s="1166"/>
      <c r="F2" s="1166"/>
      <c r="G2" s="1166"/>
      <c r="I2" s="464"/>
    </row>
    <row r="3" spans="2:9" s="671" customFormat="1" ht="14.65" customHeight="1">
      <c r="B3" s="1166" t="s">
        <v>403</v>
      </c>
      <c r="C3" s="1166"/>
      <c r="D3" s="1166"/>
      <c r="E3" s="1169" t="s">
        <v>580</v>
      </c>
      <c r="F3" s="1169"/>
      <c r="G3" s="1169"/>
      <c r="I3" s="464"/>
    </row>
    <row r="4" spans="2:9" s="214" customFormat="1" ht="15" customHeight="1">
      <c r="B4" s="458"/>
      <c r="G4" s="603" t="s">
        <v>314</v>
      </c>
    </row>
    <row r="5" spans="2:9">
      <c r="B5" s="159" t="s">
        <v>75</v>
      </c>
      <c r="C5" s="1157" t="str">
        <f>Mandantendaten!C3</f>
        <v>Max Mustermann</v>
      </c>
      <c r="D5" s="1184"/>
      <c r="E5" s="1184"/>
      <c r="F5" s="1184"/>
      <c r="G5" s="213">
        <f>Mandantendaten!C5</f>
        <v>44561</v>
      </c>
    </row>
    <row r="6" spans="2:9">
      <c r="B6" s="60"/>
      <c r="C6" s="60"/>
      <c r="D6" s="60"/>
      <c r="E6" s="63"/>
      <c r="F6" s="63"/>
      <c r="G6" s="63"/>
    </row>
    <row r="7" spans="2:9">
      <c r="B7" s="95" t="s">
        <v>131</v>
      </c>
      <c r="C7" s="98" t="s">
        <v>132</v>
      </c>
      <c r="D7" s="179">
        <f>IF(YEAR($G$5)=2020,$G$5-365,IF(YEAR($G$5)=2024,$G$5-365,IF(YEAR($G$5)=2025,$G$5-365,$G$5-364)))</f>
        <v>44197</v>
      </c>
      <c r="E7" s="216" t="s">
        <v>133</v>
      </c>
      <c r="F7" s="215" t="s">
        <v>134</v>
      </c>
      <c r="G7" s="160">
        <f>$G$5</f>
        <v>44561</v>
      </c>
    </row>
    <row r="8" spans="2:9">
      <c r="B8" s="125"/>
      <c r="C8" s="1179"/>
      <c r="D8" s="1180"/>
      <c r="E8" s="339"/>
      <c r="F8" s="139"/>
      <c r="G8" s="73">
        <f>C8-E8+F8</f>
        <v>0</v>
      </c>
    </row>
    <row r="9" spans="2:9">
      <c r="B9" s="127"/>
      <c r="C9" s="1181"/>
      <c r="D9" s="1182"/>
      <c r="E9" s="340"/>
      <c r="F9" s="143"/>
      <c r="G9" s="73">
        <f>C9-E9+F9</f>
        <v>0</v>
      </c>
    </row>
    <row r="10" spans="2:9">
      <c r="B10" s="127"/>
      <c r="C10" s="1181"/>
      <c r="D10" s="1182"/>
      <c r="E10" s="340"/>
      <c r="F10" s="143"/>
      <c r="G10" s="73">
        <f>C10-E10+F10</f>
        <v>0</v>
      </c>
    </row>
    <row r="11" spans="2:9">
      <c r="B11" s="129"/>
      <c r="C11" s="1177"/>
      <c r="D11" s="1178"/>
      <c r="E11" s="341"/>
      <c r="F11" s="146"/>
      <c r="G11" s="73">
        <f>C11-E11+F11</f>
        <v>0</v>
      </c>
    </row>
    <row r="12" spans="2:9">
      <c r="B12" s="83" t="s">
        <v>135</v>
      </c>
      <c r="C12" s="83"/>
      <c r="D12" s="162">
        <f>SUM(C8:D11)</f>
        <v>0</v>
      </c>
      <c r="E12" s="162">
        <f>SUM(E8:E11)</f>
        <v>0</v>
      </c>
      <c r="F12" s="162">
        <f>SUM(F8:F11)</f>
        <v>0</v>
      </c>
      <c r="G12" s="162">
        <f>SUM(G8:G11)</f>
        <v>0</v>
      </c>
    </row>
    <row r="13" spans="2:9">
      <c r="B13" s="22"/>
      <c r="C13" s="22"/>
      <c r="D13" s="22"/>
      <c r="E13" s="25"/>
      <c r="F13" s="25"/>
      <c r="G13" s="25"/>
    </row>
    <row r="14" spans="2:9">
      <c r="B14" s="95" t="s">
        <v>136</v>
      </c>
      <c r="C14" s="98" t="s">
        <v>132</v>
      </c>
      <c r="D14" s="179">
        <f>IF(YEAR($G$5)=2020,$G$5-365,IF(YEAR($G$5)=2024,$G$5-365,IF(YEAR($G$5)=2025,$G$5-365,$G$5-364)))</f>
        <v>44197</v>
      </c>
      <c r="E14" s="216" t="s">
        <v>133</v>
      </c>
      <c r="F14" s="215" t="s">
        <v>134</v>
      </c>
      <c r="G14" s="160">
        <f>$G$5</f>
        <v>44561</v>
      </c>
    </row>
    <row r="15" spans="2:9">
      <c r="B15" s="125"/>
      <c r="C15" s="1179"/>
      <c r="D15" s="1180"/>
      <c r="E15" s="339"/>
      <c r="F15" s="139"/>
      <c r="G15" s="73">
        <f>C15-E15+F15</f>
        <v>0</v>
      </c>
    </row>
    <row r="16" spans="2:9">
      <c r="B16" s="127"/>
      <c r="C16" s="1181"/>
      <c r="D16" s="1182"/>
      <c r="E16" s="340"/>
      <c r="F16" s="143"/>
      <c r="G16" s="73">
        <f>C16-E16+F16</f>
        <v>0</v>
      </c>
    </row>
    <row r="17" spans="2:7">
      <c r="B17" s="127"/>
      <c r="C17" s="1181"/>
      <c r="D17" s="1182"/>
      <c r="E17" s="340"/>
      <c r="F17" s="143"/>
      <c r="G17" s="73">
        <f>C17-E17+F17</f>
        <v>0</v>
      </c>
    </row>
    <row r="18" spans="2:7">
      <c r="B18" s="129"/>
      <c r="C18" s="1177"/>
      <c r="D18" s="1178"/>
      <c r="E18" s="341"/>
      <c r="F18" s="146"/>
      <c r="G18" s="73">
        <f>C18-E18+F18</f>
        <v>0</v>
      </c>
    </row>
    <row r="19" spans="2:7">
      <c r="B19" s="83" t="s">
        <v>137</v>
      </c>
      <c r="C19" s="83"/>
      <c r="D19" s="162">
        <f>SUM(C15:D18)</f>
        <v>0</v>
      </c>
      <c r="E19" s="162">
        <f>SUM(E15:E18)</f>
        <v>0</v>
      </c>
      <c r="F19" s="162">
        <f>SUM(F15:F18)</f>
        <v>0</v>
      </c>
      <c r="G19" s="162">
        <f>SUM(G15:G18)</f>
        <v>0</v>
      </c>
    </row>
    <row r="20" spans="2:7">
      <c r="B20" s="22"/>
      <c r="C20" s="22"/>
      <c r="D20" s="22"/>
      <c r="E20" s="25"/>
      <c r="F20" s="25"/>
      <c r="G20" s="25"/>
    </row>
    <row r="21" spans="2:7">
      <c r="B21" s="95" t="s">
        <v>138</v>
      </c>
      <c r="C21" s="98" t="s">
        <v>132</v>
      </c>
      <c r="D21" s="179">
        <f>IF(YEAR($G$5)=2020,$G$5-365,IF(YEAR($G$5)=2024,$G$5-365,IF(YEAR($G$5)=2025,$G$5-365,$G$5-364)))</f>
        <v>44197</v>
      </c>
      <c r="E21" s="216" t="s">
        <v>133</v>
      </c>
      <c r="F21" s="215" t="s">
        <v>134</v>
      </c>
      <c r="G21" s="160">
        <f>$G$5</f>
        <v>44561</v>
      </c>
    </row>
    <row r="22" spans="2:7">
      <c r="B22" s="125"/>
      <c r="C22" s="1179"/>
      <c r="D22" s="1180"/>
      <c r="E22" s="339"/>
      <c r="F22" s="139"/>
      <c r="G22" s="73">
        <f>C22-E22+F22</f>
        <v>0</v>
      </c>
    </row>
    <row r="23" spans="2:7">
      <c r="B23" s="127"/>
      <c r="C23" s="1181"/>
      <c r="D23" s="1182"/>
      <c r="E23" s="340"/>
      <c r="F23" s="143"/>
      <c r="G23" s="73">
        <f>C23-E23+F23</f>
        <v>0</v>
      </c>
    </row>
    <row r="24" spans="2:7">
      <c r="B24" s="127"/>
      <c r="C24" s="1181"/>
      <c r="D24" s="1182"/>
      <c r="E24" s="340"/>
      <c r="F24" s="143"/>
      <c r="G24" s="73">
        <f>C24-E24+F24</f>
        <v>0</v>
      </c>
    </row>
    <row r="25" spans="2:7">
      <c r="B25" s="129"/>
      <c r="C25" s="1177"/>
      <c r="D25" s="1178"/>
      <c r="E25" s="341"/>
      <c r="F25" s="146"/>
      <c r="G25" s="73">
        <f>C25-E25+F25</f>
        <v>0</v>
      </c>
    </row>
    <row r="26" spans="2:7">
      <c r="B26" s="83" t="s">
        <v>139</v>
      </c>
      <c r="C26" s="83"/>
      <c r="D26" s="162">
        <f>SUM(C22:D25)</f>
        <v>0</v>
      </c>
      <c r="E26" s="162">
        <f>SUM(E22:E25)</f>
        <v>0</v>
      </c>
      <c r="F26" s="162">
        <f>SUM(F22:F25)</f>
        <v>0</v>
      </c>
      <c r="G26" s="162">
        <f>SUM(G22:G25)</f>
        <v>0</v>
      </c>
    </row>
    <row r="27" spans="2:7">
      <c r="B27" s="22"/>
      <c r="C27" s="22"/>
      <c r="D27" s="22"/>
      <c r="E27" s="25"/>
      <c r="F27" s="25"/>
      <c r="G27" s="25"/>
    </row>
    <row r="28" spans="2:7">
      <c r="B28" s="95" t="s">
        <v>140</v>
      </c>
      <c r="C28" s="98" t="s">
        <v>132</v>
      </c>
      <c r="D28" s="179">
        <f>IF(YEAR($G$5)=2020,$G$5-365,IF(YEAR($G$5)=2024,$G$5-365,IF(YEAR($G$5)=2025,$G$5-365,$G$5-364)))</f>
        <v>44197</v>
      </c>
      <c r="E28" s="216" t="s">
        <v>133</v>
      </c>
      <c r="F28" s="215" t="s">
        <v>134</v>
      </c>
      <c r="G28" s="160">
        <f>$G$5</f>
        <v>44561</v>
      </c>
    </row>
    <row r="29" spans="2:7">
      <c r="B29" s="125"/>
      <c r="C29" s="1179"/>
      <c r="D29" s="1180"/>
      <c r="E29" s="339"/>
      <c r="F29" s="139"/>
      <c r="G29" s="73">
        <f>C29-E29+F29</f>
        <v>0</v>
      </c>
    </row>
    <row r="30" spans="2:7">
      <c r="B30" s="127"/>
      <c r="C30" s="1181"/>
      <c r="D30" s="1182"/>
      <c r="E30" s="340"/>
      <c r="F30" s="143"/>
      <c r="G30" s="73">
        <f>C30-E30+F30</f>
        <v>0</v>
      </c>
    </row>
    <row r="31" spans="2:7">
      <c r="B31" s="127"/>
      <c r="C31" s="1181"/>
      <c r="D31" s="1182"/>
      <c r="E31" s="340"/>
      <c r="F31" s="143"/>
      <c r="G31" s="73">
        <f>C31-E31+F31</f>
        <v>0</v>
      </c>
    </row>
    <row r="32" spans="2:7">
      <c r="B32" s="129"/>
      <c r="C32" s="1177"/>
      <c r="D32" s="1178"/>
      <c r="E32" s="341"/>
      <c r="F32" s="146"/>
      <c r="G32" s="73">
        <f>C32-E32+F32</f>
        <v>0</v>
      </c>
    </row>
    <row r="33" spans="2:7">
      <c r="B33" s="83" t="s">
        <v>273</v>
      </c>
      <c r="C33" s="83"/>
      <c r="D33" s="162">
        <f>SUM(C29:D32)</f>
        <v>0</v>
      </c>
      <c r="E33" s="162">
        <f>SUM(E29:E32)</f>
        <v>0</v>
      </c>
      <c r="F33" s="162">
        <f>SUM(F29:F32)</f>
        <v>0</v>
      </c>
      <c r="G33" s="162">
        <f>SUM(G29:G32)</f>
        <v>0</v>
      </c>
    </row>
    <row r="34" spans="2:7">
      <c r="B34" s="22"/>
      <c r="C34" s="22"/>
      <c r="D34" s="22"/>
      <c r="E34" s="88"/>
      <c r="F34" s="88"/>
      <c r="G34" s="89"/>
    </row>
    <row r="35" spans="2:7">
      <c r="B35" s="83" t="s">
        <v>141</v>
      </c>
      <c r="C35" s="83"/>
      <c r="D35" s="162">
        <f>D33+D26+D19+D12</f>
        <v>0</v>
      </c>
      <c r="E35" s="162">
        <f>E33+E26+E19+E12</f>
        <v>0</v>
      </c>
      <c r="F35" s="162">
        <f>F33+F26+F19+F12</f>
        <v>0</v>
      </c>
      <c r="G35" s="162">
        <f>G33+G26+G19+G12</f>
        <v>0</v>
      </c>
    </row>
    <row r="36" spans="2:7"/>
    <row r="37" spans="2:7"/>
    <row r="38" spans="2:7"/>
    <row r="39" spans="2:7"/>
  </sheetData>
  <mergeCells count="21">
    <mergeCell ref="C30:D30"/>
    <mergeCell ref="C31:D31"/>
    <mergeCell ref="C32:D32"/>
    <mergeCell ref="C22:D22"/>
    <mergeCell ref="C23:D23"/>
    <mergeCell ref="C24:D24"/>
    <mergeCell ref="C25:D25"/>
    <mergeCell ref="C29:D29"/>
    <mergeCell ref="B1:G1"/>
    <mergeCell ref="C5:F5"/>
    <mergeCell ref="C8:D8"/>
    <mergeCell ref="C9:D9"/>
    <mergeCell ref="C10:D10"/>
    <mergeCell ref="B2:G2"/>
    <mergeCell ref="B3:D3"/>
    <mergeCell ref="E3:G3"/>
    <mergeCell ref="C11:D11"/>
    <mergeCell ref="C15:D15"/>
    <mergeCell ref="C16:D16"/>
    <mergeCell ref="C17:D17"/>
    <mergeCell ref="C18:D18"/>
  </mergeCells>
  <hyperlinks>
    <hyperlink ref="I1" location="Inhaltsverzeichnis!A1" display="zum Inhaltsverzeichnis" xr:uid="{BDDB1986-886E-4C1B-A3F9-B76E974D0294}"/>
  </hyperlinks>
  <pageMargins left="0.7" right="0.7" top="0.78740157499999996" bottom="0.78740157499999996" header="0.3" footer="0.3"/>
  <pageSetup paperSize="9" scale="77" orientation="portrait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3AC3-5D86-4BB2-B613-ACF98EEA614A}">
  <sheetPr>
    <pageSetUpPr fitToPage="1"/>
  </sheetPr>
  <dimension ref="A1:J37"/>
  <sheetViews>
    <sheetView showGridLines="0" zoomScaleNormal="100" workbookViewId="0">
      <pane ySplit="8" topLeftCell="A9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28.5703125" customWidth="1"/>
    <col min="3" max="3" width="12.85546875" customWidth="1"/>
    <col min="4" max="4" width="17.85546875" customWidth="1"/>
    <col min="5" max="5" width="19.85546875" customWidth="1"/>
    <col min="6" max="6" width="16.28515625" customWidth="1"/>
    <col min="7" max="8" width="14.140625" customWidth="1"/>
    <col min="9" max="9" width="1.7109375" customWidth="1"/>
    <col min="10" max="10" width="21.7109375" customWidth="1"/>
    <col min="11" max="16384" width="11.42578125" hidden="1"/>
  </cols>
  <sheetData>
    <row r="1" spans="2:10" ht="35.1" customHeight="1">
      <c r="B1" s="1079" t="s">
        <v>375</v>
      </c>
      <c r="C1" s="1183"/>
      <c r="D1" s="1183"/>
      <c r="E1" s="1183"/>
      <c r="F1" s="1183"/>
      <c r="G1" s="1183"/>
      <c r="H1" s="1183"/>
      <c r="J1" s="464" t="s">
        <v>269</v>
      </c>
    </row>
    <row r="2" spans="2:10" s="611" customFormat="1">
      <c r="B2" s="1166" t="s">
        <v>329</v>
      </c>
      <c r="C2" s="1166"/>
      <c r="D2" s="1166"/>
      <c r="E2" s="1166"/>
      <c r="F2" s="1166"/>
      <c r="G2" s="1166"/>
      <c r="H2" s="1166"/>
      <c r="J2" s="464"/>
    </row>
    <row r="3" spans="2:10" s="671" customFormat="1">
      <c r="B3" s="1167" t="s">
        <v>403</v>
      </c>
      <c r="C3" s="1167"/>
      <c r="D3" s="1167"/>
      <c r="E3" s="1167"/>
      <c r="F3" s="1167"/>
      <c r="G3" s="1167"/>
      <c r="H3" s="669"/>
      <c r="J3" s="464"/>
    </row>
    <row r="4" spans="2:10" s="214" customFormat="1" ht="15" customHeight="1">
      <c r="B4" s="458"/>
      <c r="H4" s="603" t="s">
        <v>314</v>
      </c>
    </row>
    <row r="5" spans="2:10">
      <c r="B5" s="18" t="s">
        <v>75</v>
      </c>
      <c r="C5" s="1157" t="str">
        <f>Mandantendaten!C3</f>
        <v>Max Mustermann</v>
      </c>
      <c r="D5" s="1184"/>
      <c r="E5" s="1184"/>
      <c r="F5" s="1184"/>
      <c r="G5" s="1184"/>
      <c r="H5" s="64">
        <f>Mandantendaten!C5</f>
        <v>44561</v>
      </c>
    </row>
    <row r="6" spans="2:10">
      <c r="B6" s="60"/>
      <c r="C6" s="60"/>
      <c r="D6" s="63"/>
      <c r="E6" s="63"/>
      <c r="F6" s="63"/>
      <c r="G6" s="63"/>
      <c r="H6" s="60"/>
    </row>
    <row r="7" spans="2:10">
      <c r="B7" s="217" t="s">
        <v>113</v>
      </c>
      <c r="C7" s="217" t="s">
        <v>142</v>
      </c>
      <c r="D7" s="1185" t="s">
        <v>143</v>
      </c>
      <c r="E7" s="1185"/>
      <c r="F7" s="70" t="s">
        <v>86</v>
      </c>
      <c r="G7" s="217" t="s">
        <v>216</v>
      </c>
      <c r="H7" s="217" t="s">
        <v>217</v>
      </c>
    </row>
    <row r="8" spans="2:10">
      <c r="B8" s="101"/>
      <c r="C8" s="475" t="s">
        <v>544</v>
      </c>
      <c r="D8" s="475" t="s">
        <v>145</v>
      </c>
      <c r="E8" s="475" t="s">
        <v>146</v>
      </c>
      <c r="F8" s="66"/>
      <c r="G8" s="67"/>
      <c r="H8" s="67"/>
    </row>
    <row r="9" spans="2:10">
      <c r="B9" s="466"/>
      <c r="C9" s="150"/>
      <c r="D9" s="36">
        <v>43831</v>
      </c>
      <c r="E9" s="36">
        <v>44926</v>
      </c>
      <c r="F9" s="139">
        <v>360</v>
      </c>
      <c r="G9" s="102">
        <f>IF(H$5&lt;E9,IF(F9="","",(E9-$H$5)/(E9-D9)*F9),0)</f>
        <v>120</v>
      </c>
      <c r="H9" s="88">
        <f>IF(G9="","",(ROUNDUP(G9,0)))</f>
        <v>120</v>
      </c>
    </row>
    <row r="10" spans="2:10">
      <c r="B10" s="467"/>
      <c r="C10" s="153"/>
      <c r="D10" s="42"/>
      <c r="E10" s="42"/>
      <c r="F10" s="143"/>
      <c r="G10" s="102">
        <f t="shared" ref="G10:G34" si="0">IF(H$5&lt;E10,IF(F10="","",(E10-$H$5)/(E10-D10)*F10),0)</f>
        <v>0</v>
      </c>
      <c r="H10" s="88">
        <f>IF(G10="","",(ROUNDUP(G10,0)))</f>
        <v>0</v>
      </c>
    </row>
    <row r="11" spans="2:10">
      <c r="B11" s="467"/>
      <c r="C11" s="153"/>
      <c r="D11" s="42"/>
      <c r="E11" s="42"/>
      <c r="F11" s="143"/>
      <c r="G11" s="102">
        <f t="shared" si="0"/>
        <v>0</v>
      </c>
      <c r="H11" s="88">
        <f>IF(G11="","",(ROUNDUP(G11,0)))</f>
        <v>0</v>
      </c>
    </row>
    <row r="12" spans="2:10">
      <c r="B12" s="467"/>
      <c r="C12" s="153"/>
      <c r="D12" s="42"/>
      <c r="E12" s="42"/>
      <c r="F12" s="143"/>
      <c r="G12" s="102">
        <f t="shared" si="0"/>
        <v>0</v>
      </c>
      <c r="H12" s="88">
        <f t="shared" ref="H12:H34" si="1">IF(G12="","",(ROUNDUP(G12,0)))</f>
        <v>0</v>
      </c>
    </row>
    <row r="13" spans="2:10">
      <c r="B13" s="467"/>
      <c r="C13" s="153"/>
      <c r="D13" s="42"/>
      <c r="E13" s="42"/>
      <c r="F13" s="143"/>
      <c r="G13" s="102">
        <f t="shared" si="0"/>
        <v>0</v>
      </c>
      <c r="H13" s="88">
        <f t="shared" si="1"/>
        <v>0</v>
      </c>
    </row>
    <row r="14" spans="2:10">
      <c r="B14" s="467"/>
      <c r="C14" s="153"/>
      <c r="D14" s="42"/>
      <c r="E14" s="42"/>
      <c r="F14" s="143"/>
      <c r="G14" s="102">
        <f t="shared" si="0"/>
        <v>0</v>
      </c>
      <c r="H14" s="88">
        <f t="shared" si="1"/>
        <v>0</v>
      </c>
    </row>
    <row r="15" spans="2:10">
      <c r="B15" s="467"/>
      <c r="C15" s="153"/>
      <c r="D15" s="42"/>
      <c r="E15" s="42"/>
      <c r="F15" s="143"/>
      <c r="G15" s="102">
        <f t="shared" si="0"/>
        <v>0</v>
      </c>
      <c r="H15" s="88">
        <f t="shared" si="1"/>
        <v>0</v>
      </c>
    </row>
    <row r="16" spans="2:10">
      <c r="B16" s="467"/>
      <c r="C16" s="153"/>
      <c r="D16" s="42"/>
      <c r="E16" s="42"/>
      <c r="F16" s="143"/>
      <c r="G16" s="102">
        <f t="shared" si="0"/>
        <v>0</v>
      </c>
      <c r="H16" s="88">
        <f t="shared" si="1"/>
        <v>0</v>
      </c>
    </row>
    <row r="17" spans="2:8">
      <c r="B17" s="467"/>
      <c r="C17" s="153"/>
      <c r="D17" s="42"/>
      <c r="E17" s="42"/>
      <c r="F17" s="143"/>
      <c r="G17" s="102">
        <f t="shared" si="0"/>
        <v>0</v>
      </c>
      <c r="H17" s="88">
        <f t="shared" si="1"/>
        <v>0</v>
      </c>
    </row>
    <row r="18" spans="2:8">
      <c r="B18" s="467"/>
      <c r="C18" s="153"/>
      <c r="D18" s="42"/>
      <c r="E18" s="42"/>
      <c r="F18" s="143"/>
      <c r="G18" s="102">
        <f t="shared" si="0"/>
        <v>0</v>
      </c>
      <c r="H18" s="88">
        <f t="shared" si="1"/>
        <v>0</v>
      </c>
    </row>
    <row r="19" spans="2:8">
      <c r="B19" s="467"/>
      <c r="C19" s="153"/>
      <c r="D19" s="42"/>
      <c r="E19" s="42"/>
      <c r="F19" s="143"/>
      <c r="G19" s="102">
        <f t="shared" si="0"/>
        <v>0</v>
      </c>
      <c r="H19" s="88">
        <f t="shared" si="1"/>
        <v>0</v>
      </c>
    </row>
    <row r="20" spans="2:8">
      <c r="B20" s="467"/>
      <c r="C20" s="153"/>
      <c r="D20" s="42"/>
      <c r="E20" s="42"/>
      <c r="F20" s="143"/>
      <c r="G20" s="102">
        <f t="shared" si="0"/>
        <v>0</v>
      </c>
      <c r="H20" s="88">
        <f t="shared" si="1"/>
        <v>0</v>
      </c>
    </row>
    <row r="21" spans="2:8">
      <c r="B21" s="467"/>
      <c r="C21" s="153"/>
      <c r="D21" s="42"/>
      <c r="E21" s="42"/>
      <c r="F21" s="143"/>
      <c r="G21" s="102">
        <f t="shared" si="0"/>
        <v>0</v>
      </c>
      <c r="H21" s="88">
        <f t="shared" si="1"/>
        <v>0</v>
      </c>
    </row>
    <row r="22" spans="2:8">
      <c r="B22" s="467"/>
      <c r="C22" s="153"/>
      <c r="D22" s="42"/>
      <c r="E22" s="42"/>
      <c r="F22" s="143"/>
      <c r="G22" s="102">
        <f t="shared" si="0"/>
        <v>0</v>
      </c>
      <c r="H22" s="88">
        <f t="shared" si="1"/>
        <v>0</v>
      </c>
    </row>
    <row r="23" spans="2:8">
      <c r="B23" s="467"/>
      <c r="C23" s="153"/>
      <c r="D23" s="42"/>
      <c r="E23" s="42"/>
      <c r="F23" s="143"/>
      <c r="G23" s="102">
        <f t="shared" si="0"/>
        <v>0</v>
      </c>
      <c r="H23" s="88">
        <f t="shared" si="1"/>
        <v>0</v>
      </c>
    </row>
    <row r="24" spans="2:8">
      <c r="B24" s="467"/>
      <c r="C24" s="153"/>
      <c r="D24" s="42"/>
      <c r="E24" s="42"/>
      <c r="F24" s="143"/>
      <c r="G24" s="102">
        <f t="shared" si="0"/>
        <v>0</v>
      </c>
      <c r="H24" s="88">
        <f t="shared" si="1"/>
        <v>0</v>
      </c>
    </row>
    <row r="25" spans="2:8">
      <c r="B25" s="467"/>
      <c r="C25" s="153"/>
      <c r="D25" s="42"/>
      <c r="E25" s="42"/>
      <c r="F25" s="143"/>
      <c r="G25" s="102">
        <f t="shared" si="0"/>
        <v>0</v>
      </c>
      <c r="H25" s="88">
        <f t="shared" si="1"/>
        <v>0</v>
      </c>
    </row>
    <row r="26" spans="2:8">
      <c r="B26" s="467"/>
      <c r="C26" s="153"/>
      <c r="D26" s="42"/>
      <c r="E26" s="42"/>
      <c r="F26" s="143"/>
      <c r="G26" s="102">
        <f t="shared" si="0"/>
        <v>0</v>
      </c>
      <c r="H26" s="88">
        <f t="shared" si="1"/>
        <v>0</v>
      </c>
    </row>
    <row r="27" spans="2:8">
      <c r="B27" s="467"/>
      <c r="C27" s="153"/>
      <c r="D27" s="42"/>
      <c r="E27" s="42"/>
      <c r="F27" s="143"/>
      <c r="G27" s="102">
        <f t="shared" si="0"/>
        <v>0</v>
      </c>
      <c r="H27" s="88">
        <f t="shared" si="1"/>
        <v>0</v>
      </c>
    </row>
    <row r="28" spans="2:8">
      <c r="B28" s="467"/>
      <c r="C28" s="153"/>
      <c r="D28" s="42"/>
      <c r="E28" s="42"/>
      <c r="F28" s="143"/>
      <c r="G28" s="102">
        <f t="shared" si="0"/>
        <v>0</v>
      </c>
      <c r="H28" s="88">
        <f t="shared" si="1"/>
        <v>0</v>
      </c>
    </row>
    <row r="29" spans="2:8">
      <c r="B29" s="467"/>
      <c r="C29" s="153"/>
      <c r="D29" s="42"/>
      <c r="E29" s="42"/>
      <c r="F29" s="143"/>
      <c r="G29" s="102">
        <f t="shared" si="0"/>
        <v>0</v>
      </c>
      <c r="H29" s="88">
        <f t="shared" si="1"/>
        <v>0</v>
      </c>
    </row>
    <row r="30" spans="2:8">
      <c r="B30" s="467"/>
      <c r="C30" s="153"/>
      <c r="D30" s="42"/>
      <c r="E30" s="42"/>
      <c r="F30" s="143"/>
      <c r="G30" s="102">
        <f t="shared" si="0"/>
        <v>0</v>
      </c>
      <c r="H30" s="88">
        <f t="shared" si="1"/>
        <v>0</v>
      </c>
    </row>
    <row r="31" spans="2:8">
      <c r="B31" s="467"/>
      <c r="C31" s="153"/>
      <c r="D31" s="42"/>
      <c r="E31" s="42"/>
      <c r="F31" s="143"/>
      <c r="G31" s="102">
        <f t="shared" si="0"/>
        <v>0</v>
      </c>
      <c r="H31" s="88">
        <f t="shared" si="1"/>
        <v>0</v>
      </c>
    </row>
    <row r="32" spans="2:8">
      <c r="B32" s="467"/>
      <c r="C32" s="153"/>
      <c r="D32" s="42"/>
      <c r="E32" s="42"/>
      <c r="F32" s="143"/>
      <c r="G32" s="102">
        <f t="shared" si="0"/>
        <v>0</v>
      </c>
      <c r="H32" s="88">
        <f t="shared" si="1"/>
        <v>0</v>
      </c>
    </row>
    <row r="33" spans="2:8">
      <c r="B33" s="467"/>
      <c r="C33" s="153"/>
      <c r="D33" s="42"/>
      <c r="E33" s="42"/>
      <c r="F33" s="143"/>
      <c r="G33" s="102">
        <f t="shared" si="0"/>
        <v>0</v>
      </c>
      <c r="H33" s="88">
        <f t="shared" si="1"/>
        <v>0</v>
      </c>
    </row>
    <row r="34" spans="2:8">
      <c r="B34" s="468"/>
      <c r="C34" s="156"/>
      <c r="D34" s="47"/>
      <c r="E34" s="47"/>
      <c r="F34" s="146"/>
      <c r="G34" s="102">
        <f t="shared" si="0"/>
        <v>0</v>
      </c>
      <c r="H34" s="88">
        <f t="shared" si="1"/>
        <v>0</v>
      </c>
    </row>
    <row r="35" spans="2:8">
      <c r="B35" s="17"/>
      <c r="C35" s="17"/>
      <c r="D35" s="10"/>
      <c r="E35" s="81"/>
      <c r="F35" s="82"/>
      <c r="G35" s="148"/>
      <c r="H35" s="73"/>
    </row>
    <row r="36" spans="2:8">
      <c r="B36" s="83" t="s">
        <v>91</v>
      </c>
      <c r="C36" s="83"/>
      <c r="D36" s="85"/>
      <c r="E36" s="85"/>
      <c r="F36" s="85">
        <f>SUM(F9:F35)</f>
        <v>360</v>
      </c>
      <c r="G36" s="85">
        <f>SUM(G9:G35)</f>
        <v>120</v>
      </c>
      <c r="H36" s="85">
        <f>SUM(H9:H35)</f>
        <v>120</v>
      </c>
    </row>
    <row r="37" spans="2:8">
      <c r="B37" s="90"/>
      <c r="C37" s="90"/>
      <c r="D37" s="91"/>
      <c r="E37" s="91"/>
      <c r="F37" s="92"/>
      <c r="G37" s="68"/>
      <c r="H37" s="60"/>
    </row>
  </sheetData>
  <sheetProtection algorithmName="SHA-512" hashValue="lLv+eX3C1pzgqGcLQOwHBExye0gVOhETaVGz/wbrtK7aempGhA4TPfyVhYuV5GhgeEiOVK8oaFuto6n8BMvjjQ==" saltValue="L+FAk8ofEmm21vWQAqtwxg==" spinCount="100000" sheet="1" objects="1" scenarios="1"/>
  <mergeCells count="5">
    <mergeCell ref="B1:H1"/>
    <mergeCell ref="C5:G5"/>
    <mergeCell ref="D7:E7"/>
    <mergeCell ref="B2:H2"/>
    <mergeCell ref="B3:G3"/>
  </mergeCells>
  <hyperlinks>
    <hyperlink ref="J1" location="Inhaltsverzeichnis!A1" display="zum Inhaltsverzeichnis" xr:uid="{B61502FD-D653-49F6-9DC2-D30736A84CA7}"/>
  </hyperlinks>
  <pageMargins left="0.7" right="0.7" top="0.78740157499999996" bottom="0.78740157499999996" header="0.3" footer="0.3"/>
  <pageSetup paperSize="9" scale="88" orientation="landscape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056B-1D41-4B43-B23C-F745667B2074}">
  <dimension ref="A1:R44"/>
  <sheetViews>
    <sheetView showGridLines="0" workbookViewId="0">
      <pane ySplit="5" topLeftCell="A6" activePane="bottomLeft" state="frozen"/>
      <selection pane="bottomLeft" activeCell="C9" sqref="C9:F9"/>
    </sheetView>
  </sheetViews>
  <sheetFormatPr baseColWidth="10" defaultColWidth="0" defaultRowHeight="15" zeroHeight="1"/>
  <cols>
    <col min="1" max="1" width="1.7109375" customWidth="1"/>
    <col min="2" max="2" width="31.140625" customWidth="1"/>
    <col min="3" max="5" width="11.42578125" customWidth="1"/>
    <col min="6" max="6" width="11.42578125" style="730" customWidth="1"/>
    <col min="7" max="7" width="20.140625" style="730" customWidth="1"/>
    <col min="8" max="8" width="21.42578125" style="730" bestFit="1" customWidth="1"/>
    <col min="9" max="10" width="21.42578125" style="730" customWidth="1"/>
    <col min="11" max="11" width="21.5703125" customWidth="1"/>
    <col min="12" max="12" width="2.42578125" style="616" customWidth="1"/>
    <col min="13" max="13" width="21.5703125" customWidth="1"/>
    <col min="14" max="14" width="11.42578125" hidden="1" customWidth="1"/>
    <col min="15" max="15" width="21" hidden="1" customWidth="1"/>
    <col min="16" max="18" width="9.42578125" hidden="1" customWidth="1"/>
    <col min="19" max="16384" width="11.42578125" hidden="1"/>
  </cols>
  <sheetData>
    <row r="1" spans="2:15" ht="35.1" customHeight="1">
      <c r="B1" s="1079" t="s">
        <v>502</v>
      </c>
      <c r="C1" s="1183"/>
      <c r="D1" s="1183"/>
      <c r="E1" s="1183"/>
      <c r="F1" s="1183"/>
      <c r="G1" s="1183"/>
      <c r="H1" s="1183"/>
      <c r="I1" s="1183"/>
      <c r="J1" s="1183"/>
      <c r="K1" s="1183"/>
      <c r="M1" s="464" t="s">
        <v>269</v>
      </c>
      <c r="O1" s="464"/>
    </row>
    <row r="2" spans="2:15" s="620" customFormat="1">
      <c r="B2" s="1166" t="s">
        <v>341</v>
      </c>
      <c r="C2" s="1166"/>
      <c r="D2" s="1166"/>
      <c r="E2" s="1166"/>
      <c r="F2" s="1166"/>
      <c r="G2" s="1166"/>
      <c r="H2" s="1166"/>
      <c r="I2" s="1166"/>
      <c r="J2" s="1166"/>
      <c r="K2" s="1166"/>
      <c r="M2" s="555"/>
      <c r="O2" s="555"/>
    </row>
    <row r="3" spans="2:15" s="679" customFormat="1">
      <c r="B3" s="1167" t="s">
        <v>403</v>
      </c>
      <c r="C3" s="1167"/>
      <c r="D3" s="1167"/>
      <c r="E3" s="1167"/>
      <c r="F3" s="1167"/>
      <c r="G3" s="1167"/>
      <c r="H3" s="1167"/>
      <c r="I3" s="1167"/>
      <c r="J3" s="1167"/>
      <c r="K3" s="669"/>
      <c r="M3" s="555"/>
      <c r="O3" s="555"/>
    </row>
    <row r="4" spans="2:15" s="214" customFormat="1" ht="15" customHeight="1">
      <c r="B4" s="458"/>
      <c r="H4" s="671"/>
      <c r="I4" s="671"/>
      <c r="J4" s="671"/>
      <c r="K4" s="603" t="s">
        <v>314</v>
      </c>
      <c r="L4" s="603"/>
    </row>
    <row r="5" spans="2:15">
      <c r="B5" s="18" t="s">
        <v>75</v>
      </c>
      <c r="C5" s="1157" t="str">
        <f>Mandantendaten!C3</f>
        <v>Max Mustermann</v>
      </c>
      <c r="D5" s="1184"/>
      <c r="E5" s="1184"/>
      <c r="F5" s="1184"/>
      <c r="G5" s="1184"/>
      <c r="H5" s="672"/>
      <c r="I5" s="672"/>
      <c r="J5" s="672"/>
      <c r="K5" s="213">
        <f>Mandantendaten!C5</f>
        <v>44561</v>
      </c>
      <c r="L5" s="619"/>
    </row>
    <row r="6" spans="2:15">
      <c r="B6" s="60"/>
      <c r="C6" s="164"/>
      <c r="D6" s="165"/>
      <c r="E6" s="165"/>
      <c r="F6" s="165"/>
      <c r="G6" s="165"/>
      <c r="H6" s="165"/>
      <c r="I6" s="165"/>
      <c r="J6" s="165"/>
      <c r="K6" s="60"/>
      <c r="L6" s="60"/>
    </row>
    <row r="7" spans="2:15">
      <c r="B7" s="21" t="s">
        <v>147</v>
      </c>
      <c r="C7" s="166"/>
      <c r="D7" s="167"/>
      <c r="E7" s="167"/>
      <c r="F7" s="167"/>
      <c r="G7" s="167"/>
      <c r="H7" s="167"/>
      <c r="I7" s="167"/>
      <c r="J7" s="167"/>
      <c r="K7" s="22"/>
      <c r="L7" s="618"/>
    </row>
    <row r="8" spans="2:15">
      <c r="B8" s="168"/>
      <c r="C8" s="169"/>
      <c r="D8" s="170"/>
      <c r="E8" s="170"/>
      <c r="F8" s="170"/>
      <c r="G8" s="170"/>
      <c r="H8" s="170"/>
      <c r="I8" s="170"/>
      <c r="J8" s="170"/>
      <c r="K8" s="10"/>
      <c r="L8" s="10"/>
    </row>
    <row r="9" spans="2:15">
      <c r="B9" s="10" t="s">
        <v>331</v>
      </c>
      <c r="C9" s="1198" t="s">
        <v>148</v>
      </c>
      <c r="D9" s="1199"/>
      <c r="E9" s="1199"/>
      <c r="F9" s="1200"/>
      <c r="G9" s="10"/>
      <c r="H9" s="10"/>
      <c r="I9" s="10"/>
      <c r="J9" s="10"/>
      <c r="K9" s="10"/>
      <c r="L9" s="10"/>
    </row>
    <row r="10" spans="2:15">
      <c r="B10" s="10" t="s">
        <v>332</v>
      </c>
      <c r="C10" s="141" t="s">
        <v>149</v>
      </c>
      <c r="D10" s="171">
        <v>5000</v>
      </c>
      <c r="E10" s="10"/>
      <c r="F10" s="10"/>
      <c r="G10" s="172"/>
      <c r="H10" s="172"/>
      <c r="I10" s="172"/>
      <c r="J10" s="172"/>
      <c r="K10" s="10"/>
      <c r="L10" s="10"/>
    </row>
    <row r="11" spans="2:15">
      <c r="B11" s="10" t="s">
        <v>337</v>
      </c>
      <c r="C11" s="10"/>
      <c r="D11" s="173" t="s">
        <v>150</v>
      </c>
      <c r="E11" s="1201"/>
      <c r="F11" s="1202"/>
      <c r="G11" s="1202"/>
      <c r="H11" s="1202"/>
      <c r="I11" s="1202"/>
      <c r="J11" s="1202"/>
      <c r="K11" s="1202"/>
      <c r="L11" s="617"/>
      <c r="N11" t="s">
        <v>150</v>
      </c>
      <c r="O11" t="s">
        <v>330</v>
      </c>
    </row>
    <row r="12" spans="2:15">
      <c r="B12" s="13" t="s">
        <v>338</v>
      </c>
      <c r="C12" s="10"/>
      <c r="D12" s="173" t="s">
        <v>340</v>
      </c>
      <c r="E12" s="1201" t="s">
        <v>339</v>
      </c>
      <c r="F12" s="1202"/>
      <c r="G12" s="1202"/>
      <c r="H12" s="1202"/>
      <c r="I12" s="1202"/>
      <c r="J12" s="1202"/>
      <c r="K12" s="1202"/>
      <c r="L12" s="617"/>
      <c r="N12" t="s">
        <v>151</v>
      </c>
      <c r="O12" t="s">
        <v>340</v>
      </c>
    </row>
    <row r="13" spans="2:15">
      <c r="B13" s="13"/>
      <c r="C13" s="122" t="s">
        <v>152</v>
      </c>
      <c r="D13" s="122" t="s">
        <v>153</v>
      </c>
      <c r="E13" s="122" t="s">
        <v>154</v>
      </c>
      <c r="F13" s="13"/>
      <c r="G13" s="13"/>
      <c r="H13" s="674"/>
      <c r="I13" s="674"/>
      <c r="J13" s="674"/>
      <c r="K13" s="13"/>
      <c r="L13" s="617"/>
    </row>
    <row r="14" spans="2:15">
      <c r="B14" s="174" t="s">
        <v>333</v>
      </c>
      <c r="C14" s="476">
        <v>1</v>
      </c>
      <c r="D14" s="476">
        <v>2</v>
      </c>
      <c r="E14" s="476">
        <v>2012</v>
      </c>
      <c r="F14" s="175"/>
      <c r="G14" s="10"/>
      <c r="H14" s="10"/>
      <c r="I14" s="10"/>
      <c r="J14" s="10"/>
      <c r="K14" s="10"/>
      <c r="L14" s="10"/>
    </row>
    <row r="15" spans="2:15">
      <c r="B15" s="13" t="s">
        <v>334</v>
      </c>
      <c r="C15" s="476">
        <v>1</v>
      </c>
      <c r="D15" s="476">
        <v>12</v>
      </c>
      <c r="E15" s="476">
        <v>2021</v>
      </c>
      <c r="F15" s="10"/>
      <c r="G15" s="1197"/>
      <c r="H15" s="673"/>
      <c r="I15" s="673"/>
      <c r="J15" s="673"/>
      <c r="K15" s="10"/>
      <c r="L15" s="10"/>
    </row>
    <row r="16" spans="2:15">
      <c r="B16" s="13" t="s">
        <v>155</v>
      </c>
      <c r="C16" s="476">
        <v>31</v>
      </c>
      <c r="D16" s="476">
        <v>12</v>
      </c>
      <c r="E16" s="476">
        <v>2012</v>
      </c>
      <c r="F16" s="176" t="str">
        <f>IF(E16&gt;E15,"Datum falsch!","")</f>
        <v/>
      </c>
      <c r="G16" s="1197"/>
      <c r="H16" s="673"/>
      <c r="I16" s="673"/>
      <c r="J16" s="673"/>
      <c r="K16" s="172"/>
      <c r="L16" s="172"/>
    </row>
    <row r="17" spans="2:15">
      <c r="B17" s="10" t="str">
        <f>IF(D11="m","Laufzeit in Monaten",IF(D11="q","Laufzeit in Quartalen"))</f>
        <v>Laufzeit in Monaten</v>
      </c>
      <c r="C17" s="80"/>
      <c r="D17" s="477">
        <f>IF(D11="m",ROUNDUP((DAYS360(DATE(E14,D14,C14),DATE(E15,D15,C15+1)))/30,0),IF(D11="q",ROUNDUP((DAYS360(DATE(E14,D14,C14),DATE(E15,D15,C15+1)))/30/3,0)))</f>
        <v>119</v>
      </c>
      <c r="E17" s="80"/>
      <c r="F17" s="10" t="s">
        <v>156</v>
      </c>
      <c r="G17" s="10"/>
      <c r="H17" s="10"/>
      <c r="I17" s="10"/>
      <c r="J17" s="10"/>
      <c r="K17" s="10"/>
      <c r="L17" s="10"/>
    </row>
    <row r="18" spans="2:1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2:15">
      <c r="B19" s="21" t="s">
        <v>404</v>
      </c>
      <c r="C19" s="166"/>
      <c r="D19" s="167"/>
      <c r="E19" s="167"/>
      <c r="F19" s="900" t="s">
        <v>394</v>
      </c>
      <c r="G19" s="901"/>
      <c r="H19" s="167"/>
      <c r="I19" s="167"/>
      <c r="J19" s="167"/>
      <c r="K19" s="10"/>
      <c r="L19" s="10"/>
      <c r="N19" t="s">
        <v>393</v>
      </c>
      <c r="O19" t="s">
        <v>394</v>
      </c>
    </row>
    <row r="20" spans="2:15" s="671" customFormat="1">
      <c r="B20" s="21"/>
      <c r="C20" s="166"/>
      <c r="D20" s="167"/>
      <c r="E20" s="167"/>
      <c r="F20" s="167"/>
      <c r="G20" s="167"/>
      <c r="H20" s="167"/>
      <c r="I20" s="167"/>
      <c r="J20" s="1189" t="s">
        <v>405</v>
      </c>
      <c r="K20" s="1186" t="s">
        <v>406</v>
      </c>
      <c r="L20" s="10"/>
    </row>
    <row r="21" spans="2:15" ht="14.65" customHeight="1">
      <c r="B21" s="1195" t="s">
        <v>157</v>
      </c>
      <c r="C21" s="1195" t="str">
        <f>IF(D11="m","Monate",IF(D11="q","Quartale"))</f>
        <v>Monate</v>
      </c>
      <c r="D21" s="10"/>
      <c r="E21" s="1192" t="s">
        <v>391</v>
      </c>
      <c r="F21" s="1193"/>
      <c r="G21" s="1194"/>
      <c r="H21" s="1192" t="s">
        <v>390</v>
      </c>
      <c r="I21" s="1193"/>
      <c r="J21" s="1190"/>
      <c r="K21" s="1187"/>
      <c r="L21" s="10"/>
    </row>
    <row r="22" spans="2:15">
      <c r="B22" s="1196"/>
      <c r="C22" s="1196"/>
      <c r="D22" s="22"/>
      <c r="E22" s="731"/>
      <c r="F22" s="732" t="s">
        <v>335</v>
      </c>
      <c r="G22" s="733" t="s">
        <v>336</v>
      </c>
      <c r="H22" s="734" t="s">
        <v>335</v>
      </c>
      <c r="I22" s="735" t="s">
        <v>336</v>
      </c>
      <c r="J22" s="1191"/>
      <c r="K22" s="1188"/>
      <c r="L22" s="618"/>
    </row>
    <row r="23" spans="2:15">
      <c r="B23" s="177">
        <f>DATE(E16,D16,C16)</f>
        <v>41274</v>
      </c>
      <c r="C23" s="178">
        <f>IF(D11="m",ROUNDUP((DAYS360(DATE($E$14,$D$14,$C$14),B23+1))/30,0),IF(D11="q",ROUNDUP((DAYS360(DATE($E$14,$D$14,$C$14),B23+1))/30/3,0),IF(D11="j",ROUNDUP((DAYS360(DATE($E$14,$D$14,$C$14),B23+1))/30/3/4,0))))</f>
        <v>11</v>
      </c>
      <c r="D23" s="22"/>
      <c r="E23" s="678"/>
      <c r="F23" s="640">
        <f>IF(C23="","",IF(D12="ad",(C23*($D$17-(C23+1)/2+1))/((POWER($D$17,2)+$D$17)/2)*$D$10,IF(D12="ln",$D$10/$D$17*C23)))</f>
        <v>462.18487394957981</v>
      </c>
      <c r="G23" s="640">
        <f>IF(F23="","",D10-F23)</f>
        <v>4537.8151260504201</v>
      </c>
      <c r="H23" s="640">
        <f>IF($F$19="Ja",F23,IF(F23="","",0))</f>
        <v>0</v>
      </c>
      <c r="I23" s="640">
        <f>IF($F$19="Ja",G23,IF(G23="","",0))</f>
        <v>0</v>
      </c>
      <c r="J23" s="640">
        <f>IF(H23="","",F23-H23)</f>
        <v>462.18487394957981</v>
      </c>
      <c r="K23" s="124">
        <f>IF(I23="","",G23-I23)</f>
        <v>4537.8151260504201</v>
      </c>
      <c r="L23" s="618"/>
      <c r="N23" s="224">
        <v>0</v>
      </c>
    </row>
    <row r="24" spans="2:15">
      <c r="B24" s="177">
        <f t="shared" ref="B24:B43" si="0">IF(B23="","",IF(DAYS360(B23,DATE($E$15,$D$15,$C$15))&lt;=0,"",DATE($E$16+N24,$D$16,$C$16)))</f>
        <v>41639</v>
      </c>
      <c r="C24" s="178">
        <f t="shared" ref="C24:C43" si="1">IF(B24="","",IF(AND($D$11="m",DAYS360(B24,DATE($E$15+1,$D$15,$C$15))&gt;360),ROUNDUP(360/30,0),IF(AND($D$11="m",DAYS360(B24,DATE($E$15+1,$D$15,$C$15))&lt;=360),ROUNDUP((DAYS360(B24,DATE($E$15+1,$D$15,$C$15)))/30,0),IF(AND($D$11="q",DAYS360(B24,DATE($E$15+1,$D$15,$C$15))&gt;360),ROUNDUP(360/30/3,0),IF(AND($D$11="q",DAYS360(B24,DATE($E$15+1,$D$15,$C$15))&lt;=360),ROUNDUP((DAYS360(B24,DATE($E$15+1,$D$15,$C$15)))/30/3,0))))))</f>
        <v>12</v>
      </c>
      <c r="D24" s="22"/>
      <c r="E24" s="678"/>
      <c r="F24" s="640">
        <f>IF(C24="","",IF($D$12="ad",(C24*($D$17-(C24+1)/2-SUM($C$23:C23)+1))/((POWER($D$17,2)+$D$17)/2)*$D$10,IF($D$12="ln",$D$10/$D$17*C24)))</f>
        <v>504.20168067226894</v>
      </c>
      <c r="G24" s="640">
        <f>IF(F24="","",G23-F24)</f>
        <v>4033.613445378151</v>
      </c>
      <c r="H24" s="640">
        <f t="shared" ref="H24:I43" si="2">IF($F$19="Ja",F24,IF(F24="","",0))</f>
        <v>0</v>
      </c>
      <c r="I24" s="640">
        <f t="shared" si="2"/>
        <v>0</v>
      </c>
      <c r="J24" s="640">
        <f t="shared" ref="J24:J43" si="3">IF(H24="","",F24-H24)</f>
        <v>504.20168067226894</v>
      </c>
      <c r="K24" s="124">
        <f t="shared" ref="K24:K43" si="4">IF(I24="","",G24-I24)</f>
        <v>4033.613445378151</v>
      </c>
      <c r="L24" s="618"/>
      <c r="N24" s="224">
        <v>1</v>
      </c>
    </row>
    <row r="25" spans="2:15">
      <c r="B25" s="177">
        <f t="shared" si="0"/>
        <v>42004</v>
      </c>
      <c r="C25" s="178">
        <f t="shared" si="1"/>
        <v>12</v>
      </c>
      <c r="D25" s="22"/>
      <c r="E25" s="678"/>
      <c r="F25" s="640">
        <f>IF(C25="","",IF($D$12="ad",(C25*($D$17-(C25+1)/2-SUM($C$23:C24)+1))/((POWER($D$17,2)+$D$17)/2)*$D$10,IF($D$12="ln",$D$10/$D$17*C25)))</f>
        <v>504.20168067226894</v>
      </c>
      <c r="G25" s="640">
        <f>IF(F25="","",G24-F25)</f>
        <v>3529.411764705882</v>
      </c>
      <c r="H25" s="640">
        <f t="shared" si="2"/>
        <v>0</v>
      </c>
      <c r="I25" s="640">
        <f t="shared" si="2"/>
        <v>0</v>
      </c>
      <c r="J25" s="640">
        <f t="shared" si="3"/>
        <v>504.20168067226894</v>
      </c>
      <c r="K25" s="124">
        <f t="shared" si="4"/>
        <v>3529.411764705882</v>
      </c>
      <c r="L25" s="618"/>
      <c r="N25" s="224">
        <v>2</v>
      </c>
    </row>
    <row r="26" spans="2:15">
      <c r="B26" s="177">
        <f t="shared" si="0"/>
        <v>42369</v>
      </c>
      <c r="C26" s="178">
        <f t="shared" si="1"/>
        <v>12</v>
      </c>
      <c r="D26" s="22"/>
      <c r="E26" s="678"/>
      <c r="F26" s="640">
        <f>IF(C26="","",IF($D$12="ad",(C26*($D$17-(C26+1)/2-SUM($C$23:C25)+1))/((POWER($D$17,2)+$D$17)/2)*$D$10,IF($D$12="ln",$D$10/$D$17*C26)))</f>
        <v>504.20168067226894</v>
      </c>
      <c r="G26" s="640">
        <f>IF(F26="","",G25-F26)</f>
        <v>3025.2100840336129</v>
      </c>
      <c r="H26" s="640">
        <f t="shared" si="2"/>
        <v>0</v>
      </c>
      <c r="I26" s="640">
        <f t="shared" si="2"/>
        <v>0</v>
      </c>
      <c r="J26" s="640">
        <f t="shared" si="3"/>
        <v>504.20168067226894</v>
      </c>
      <c r="K26" s="124">
        <f t="shared" si="4"/>
        <v>3025.2100840336129</v>
      </c>
      <c r="L26" s="618"/>
      <c r="N26" s="224">
        <v>3</v>
      </c>
    </row>
    <row r="27" spans="2:15">
      <c r="B27" s="177">
        <f t="shared" si="0"/>
        <v>42735</v>
      </c>
      <c r="C27" s="178">
        <f t="shared" si="1"/>
        <v>12</v>
      </c>
      <c r="D27" s="22"/>
      <c r="E27" s="22"/>
      <c r="F27" s="640">
        <f>IF(C27="","",IF($D$12="ad",(C27*($D$17-(C27+1)/2-SUM($C$23:C26)+1))/((POWER($D$17,2)+$D$17)/2)*$D$10,IF($D$12="ln",$D$10/$D$17*C27)))</f>
        <v>504.20168067226894</v>
      </c>
      <c r="G27" s="640">
        <f>IF(F27="","",G26-F27)</f>
        <v>2521.0084033613439</v>
      </c>
      <c r="H27" s="640">
        <f t="shared" si="2"/>
        <v>0</v>
      </c>
      <c r="I27" s="640">
        <f t="shared" si="2"/>
        <v>0</v>
      </c>
      <c r="J27" s="640">
        <f t="shared" si="3"/>
        <v>504.20168067226894</v>
      </c>
      <c r="K27" s="124">
        <f t="shared" si="4"/>
        <v>2521.0084033613439</v>
      </c>
      <c r="L27" s="618"/>
      <c r="N27" s="224">
        <v>4</v>
      </c>
    </row>
    <row r="28" spans="2:15">
      <c r="B28" s="177">
        <f t="shared" si="0"/>
        <v>43100</v>
      </c>
      <c r="C28" s="178">
        <f t="shared" si="1"/>
        <v>12</v>
      </c>
      <c r="D28" s="222"/>
      <c r="E28" s="222"/>
      <c r="F28" s="640">
        <f>IF(C28="","",IF($D$12="ad",(C28*($D$17-(C28+1)/2-SUM($C$23:C27)+1))/((POWER($D$17,2)+$D$17)/2)*$D$10,IF($D$12="ln",$D$10/$D$17*C28)))</f>
        <v>504.20168067226894</v>
      </c>
      <c r="G28" s="640">
        <f>IF(F28="","",G27-F28)</f>
        <v>2016.8067226890748</v>
      </c>
      <c r="H28" s="640">
        <f t="shared" si="2"/>
        <v>0</v>
      </c>
      <c r="I28" s="640">
        <f t="shared" si="2"/>
        <v>0</v>
      </c>
      <c r="J28" s="640">
        <f t="shared" si="3"/>
        <v>504.20168067226894</v>
      </c>
      <c r="K28" s="124">
        <f t="shared" si="4"/>
        <v>2016.8067226890748</v>
      </c>
      <c r="L28" s="60"/>
      <c r="N28" s="224">
        <v>5</v>
      </c>
    </row>
    <row r="29" spans="2:15">
      <c r="B29" s="177">
        <f t="shared" si="0"/>
        <v>43465</v>
      </c>
      <c r="C29" s="178">
        <f t="shared" si="1"/>
        <v>12</v>
      </c>
      <c r="F29" s="640">
        <f>IF(C29="","",IF($D$12="ad",(C29*($D$17-(C29+1)/2-SUM($C$23:C28)+1))/((POWER($D$17,2)+$D$17)/2)*$D$10,IF($D$12="ln",$D$10/$D$17*C29)))</f>
        <v>504.20168067226894</v>
      </c>
      <c r="G29" s="640">
        <f t="shared" ref="G29:G43" si="5">IF(F29="","",G28-F29)</f>
        <v>1512.6050420168058</v>
      </c>
      <c r="H29" s="640">
        <f t="shared" si="2"/>
        <v>0</v>
      </c>
      <c r="I29" s="640">
        <f t="shared" si="2"/>
        <v>0</v>
      </c>
      <c r="J29" s="640">
        <f t="shared" si="3"/>
        <v>504.20168067226894</v>
      </c>
      <c r="K29" s="124">
        <f t="shared" si="4"/>
        <v>1512.6050420168058</v>
      </c>
      <c r="N29" s="224">
        <v>6</v>
      </c>
    </row>
    <row r="30" spans="2:15">
      <c r="B30" s="177">
        <f t="shared" si="0"/>
        <v>43830</v>
      </c>
      <c r="C30" s="178">
        <f t="shared" si="1"/>
        <v>12</v>
      </c>
      <c r="F30" s="640">
        <f>IF(C30="","",IF($D$12="ad",(C30*($D$17-(C30+1)/2-SUM($C$23:C29)+1))/((POWER($D$17,2)+$D$17)/2)*$D$10,IF($D$12="ln",$D$10/$D$17*C30)))</f>
        <v>504.20168067226894</v>
      </c>
      <c r="G30" s="640">
        <f t="shared" si="5"/>
        <v>1008.4033613445368</v>
      </c>
      <c r="H30" s="640">
        <f t="shared" si="2"/>
        <v>0</v>
      </c>
      <c r="I30" s="640">
        <f t="shared" si="2"/>
        <v>0</v>
      </c>
      <c r="J30" s="640">
        <f t="shared" si="3"/>
        <v>504.20168067226894</v>
      </c>
      <c r="K30" s="124">
        <f t="shared" si="4"/>
        <v>1008.4033613445368</v>
      </c>
      <c r="N30" s="224">
        <v>7</v>
      </c>
    </row>
    <row r="31" spans="2:15">
      <c r="B31" s="177">
        <f t="shared" si="0"/>
        <v>44196</v>
      </c>
      <c r="C31" s="178">
        <f t="shared" si="1"/>
        <v>12</v>
      </c>
      <c r="F31" s="640">
        <f>IF(C31="","",IF($D$12="ad",(C31*($D$17-(C31+1)/2-SUM($C$23:C30)+1))/((POWER($D$17,2)+$D$17)/2)*$D$10,IF($D$12="ln",$D$10/$D$17*C31)))</f>
        <v>504.20168067226894</v>
      </c>
      <c r="G31" s="640">
        <f t="shared" si="5"/>
        <v>504.20168067226791</v>
      </c>
      <c r="H31" s="640">
        <f t="shared" si="2"/>
        <v>0</v>
      </c>
      <c r="I31" s="640">
        <f t="shared" si="2"/>
        <v>0</v>
      </c>
      <c r="J31" s="640">
        <f t="shared" si="3"/>
        <v>504.20168067226894</v>
      </c>
      <c r="K31" s="124">
        <f t="shared" si="4"/>
        <v>504.20168067226791</v>
      </c>
      <c r="N31" s="224">
        <v>8</v>
      </c>
    </row>
    <row r="32" spans="2:15">
      <c r="B32" s="177">
        <f t="shared" si="0"/>
        <v>44561</v>
      </c>
      <c r="C32" s="178">
        <f t="shared" si="1"/>
        <v>12</v>
      </c>
      <c r="F32" s="640">
        <f>IF(C32="","",IF($D$12="ad",(C32*($D$17-(C32+1)/2-SUM($C$23:C31)+1))/((POWER($D$17,2)+$D$17)/2)*$D$10,IF($D$12="ln",$D$10/$D$17*C32)))</f>
        <v>504.20168067226894</v>
      </c>
      <c r="G32" s="640">
        <f t="shared" si="5"/>
        <v>-1.0231815394945443E-12</v>
      </c>
      <c r="H32" s="640">
        <f t="shared" si="2"/>
        <v>0</v>
      </c>
      <c r="I32" s="640">
        <f t="shared" si="2"/>
        <v>0</v>
      </c>
      <c r="J32" s="640">
        <f t="shared" si="3"/>
        <v>504.20168067226894</v>
      </c>
      <c r="K32" s="124">
        <f t="shared" si="4"/>
        <v>-1.0231815394945443E-12</v>
      </c>
      <c r="N32" s="224">
        <v>9</v>
      </c>
    </row>
    <row r="33" spans="2:14">
      <c r="B33" s="177" t="str">
        <f t="shared" si="0"/>
        <v/>
      </c>
      <c r="C33" s="178" t="str">
        <f t="shared" si="1"/>
        <v/>
      </c>
      <c r="F33" s="640" t="str">
        <f>IF(C33="","",IF($D$12="ad",(C33*($D$17-(C33+1)/2-SUM($C$23:C32)+1))/((POWER($D$17,2)+$D$17)/2)*$D$10,IF($D$12="ln",$D$10/$D$17*C33)))</f>
        <v/>
      </c>
      <c r="G33" s="640" t="str">
        <f t="shared" si="5"/>
        <v/>
      </c>
      <c r="H33" s="640" t="str">
        <f t="shared" si="2"/>
        <v/>
      </c>
      <c r="I33" s="640" t="str">
        <f t="shared" si="2"/>
        <v/>
      </c>
      <c r="J33" s="640" t="str">
        <f t="shared" si="3"/>
        <v/>
      </c>
      <c r="K33" s="124" t="str">
        <f t="shared" si="4"/>
        <v/>
      </c>
      <c r="N33" s="224">
        <v>10</v>
      </c>
    </row>
    <row r="34" spans="2:14">
      <c r="B34" s="177" t="str">
        <f t="shared" si="0"/>
        <v/>
      </c>
      <c r="C34" s="178" t="str">
        <f t="shared" si="1"/>
        <v/>
      </c>
      <c r="F34" s="640" t="str">
        <f>IF(C34="","",IF($D$12="ad",(C34*($D$17-(C34+1)/2-SUM($C$23:C33)+1))/((POWER($D$17,2)+$D$17)/2)*$D$10,IF($D$12="ln",$D$10/$D$17*C34)))</f>
        <v/>
      </c>
      <c r="G34" s="640" t="str">
        <f t="shared" si="5"/>
        <v/>
      </c>
      <c r="H34" s="640" t="str">
        <f t="shared" si="2"/>
        <v/>
      </c>
      <c r="I34" s="640" t="str">
        <f t="shared" si="2"/>
        <v/>
      </c>
      <c r="J34" s="640" t="str">
        <f t="shared" si="3"/>
        <v/>
      </c>
      <c r="K34" s="124" t="str">
        <f t="shared" si="4"/>
        <v/>
      </c>
      <c r="N34" s="224">
        <v>11</v>
      </c>
    </row>
    <row r="35" spans="2:14" hidden="1">
      <c r="B35" s="177" t="str">
        <f t="shared" si="0"/>
        <v/>
      </c>
      <c r="C35" s="178" t="str">
        <f t="shared" si="1"/>
        <v/>
      </c>
      <c r="F35" s="640" t="str">
        <f>IF(C35="","",IF($D$12="ad",(C35*($D$17-(C35+1)/2-SUM($C$23:C34)+1))/((POWER($D$17,2)+$D$17)/2)*$D$10,IF($D$12="ln",$D$10/$D$17*C35)))</f>
        <v/>
      </c>
      <c r="G35" s="640" t="str">
        <f t="shared" si="5"/>
        <v/>
      </c>
      <c r="H35" s="640" t="str">
        <f t="shared" si="2"/>
        <v/>
      </c>
      <c r="I35" s="640" t="str">
        <f t="shared" si="2"/>
        <v/>
      </c>
      <c r="J35" s="640" t="str">
        <f t="shared" si="3"/>
        <v/>
      </c>
      <c r="K35" s="124" t="str">
        <f t="shared" si="4"/>
        <v/>
      </c>
      <c r="N35" s="224">
        <v>12</v>
      </c>
    </row>
    <row r="36" spans="2:14" hidden="1">
      <c r="B36" s="177" t="str">
        <f t="shared" si="0"/>
        <v/>
      </c>
      <c r="C36" s="178" t="str">
        <f t="shared" si="1"/>
        <v/>
      </c>
      <c r="F36" s="640" t="str">
        <f>IF(C36="","",IF($D$12="ad",(C36*($D$17-(C36+1)/2-SUM($C$23:C35)+1))/((POWER($D$17,2)+$D$17)/2)*$D$10,IF($D$12="ln",$D$10/$D$17*C36)))</f>
        <v/>
      </c>
      <c r="G36" s="640" t="str">
        <f t="shared" si="5"/>
        <v/>
      </c>
      <c r="H36" s="640" t="str">
        <f t="shared" si="2"/>
        <v/>
      </c>
      <c r="I36" s="640" t="str">
        <f t="shared" si="2"/>
        <v/>
      </c>
      <c r="J36" s="640" t="str">
        <f t="shared" si="3"/>
        <v/>
      </c>
      <c r="K36" s="124" t="str">
        <f t="shared" si="4"/>
        <v/>
      </c>
      <c r="N36" s="224">
        <v>13</v>
      </c>
    </row>
    <row r="37" spans="2:14" hidden="1">
      <c r="B37" s="177" t="str">
        <f t="shared" si="0"/>
        <v/>
      </c>
      <c r="C37" s="178" t="str">
        <f t="shared" si="1"/>
        <v/>
      </c>
      <c r="F37" s="640" t="str">
        <f>IF(C37="","",IF($D$12="ad",(C37*($D$17-(C37+1)/2-SUM($C$23:C36)+1))/((POWER($D$17,2)+$D$17)/2)*$D$10,IF($D$12="ln",$D$10/$D$17*C37)))</f>
        <v/>
      </c>
      <c r="G37" s="640" t="str">
        <f t="shared" si="5"/>
        <v/>
      </c>
      <c r="H37" s="640" t="str">
        <f t="shared" si="2"/>
        <v/>
      </c>
      <c r="I37" s="640" t="str">
        <f t="shared" si="2"/>
        <v/>
      </c>
      <c r="J37" s="640" t="str">
        <f t="shared" si="3"/>
        <v/>
      </c>
      <c r="K37" s="124" t="str">
        <f t="shared" si="4"/>
        <v/>
      </c>
      <c r="N37" s="224">
        <v>14</v>
      </c>
    </row>
    <row r="38" spans="2:14" hidden="1">
      <c r="B38" s="177" t="str">
        <f t="shared" si="0"/>
        <v/>
      </c>
      <c r="C38" s="178" t="str">
        <f t="shared" si="1"/>
        <v/>
      </c>
      <c r="F38" s="640" t="str">
        <f>IF(C38="","",IF($D$12="ad",(C38*($D$17-(C38+1)/2-SUM($C$23:C37)+1))/((POWER($D$17,2)+$D$17)/2)*$D$10,IF($D$12="ln",$D$10/$D$17*C38)))</f>
        <v/>
      </c>
      <c r="G38" s="640" t="str">
        <f t="shared" si="5"/>
        <v/>
      </c>
      <c r="H38" s="640" t="str">
        <f t="shared" si="2"/>
        <v/>
      </c>
      <c r="I38" s="640" t="str">
        <f t="shared" si="2"/>
        <v/>
      </c>
      <c r="J38" s="640" t="str">
        <f t="shared" si="3"/>
        <v/>
      </c>
      <c r="K38" s="124" t="str">
        <f t="shared" si="4"/>
        <v/>
      </c>
      <c r="N38" s="224">
        <v>15</v>
      </c>
    </row>
    <row r="39" spans="2:14" hidden="1">
      <c r="B39" s="177" t="str">
        <f t="shared" si="0"/>
        <v/>
      </c>
      <c r="C39" s="178" t="str">
        <f t="shared" si="1"/>
        <v/>
      </c>
      <c r="F39" s="640" t="str">
        <f>IF(C39="","",IF($D$12="ad",(C39*($D$17-(C39+1)/2-SUM($C$23:C38)+1))/((POWER($D$17,2)+$D$17)/2)*$D$10,IF($D$12="ln",$D$10/$D$17*C39)))</f>
        <v/>
      </c>
      <c r="G39" s="640" t="str">
        <f t="shared" si="5"/>
        <v/>
      </c>
      <c r="H39" s="640" t="str">
        <f t="shared" si="2"/>
        <v/>
      </c>
      <c r="I39" s="640" t="str">
        <f t="shared" si="2"/>
        <v/>
      </c>
      <c r="J39" s="640" t="str">
        <f t="shared" si="3"/>
        <v/>
      </c>
      <c r="K39" s="124" t="str">
        <f t="shared" si="4"/>
        <v/>
      </c>
      <c r="N39" s="224">
        <v>16</v>
      </c>
    </row>
    <row r="40" spans="2:14" hidden="1">
      <c r="B40" s="177" t="str">
        <f t="shared" si="0"/>
        <v/>
      </c>
      <c r="C40" s="178" t="str">
        <f t="shared" si="1"/>
        <v/>
      </c>
      <c r="F40" s="640" t="str">
        <f>IF(C40="","",IF($D$12="ad",(C40*($D$17-(C40+1)/2-SUM($C$23:C39)+1))/((POWER($D$17,2)+$D$17)/2)*$D$10,IF($D$12="ln",$D$10/$D$17*C40)))</f>
        <v/>
      </c>
      <c r="G40" s="640" t="str">
        <f t="shared" si="5"/>
        <v/>
      </c>
      <c r="H40" s="640" t="str">
        <f t="shared" si="2"/>
        <v/>
      </c>
      <c r="I40" s="640" t="str">
        <f t="shared" si="2"/>
        <v/>
      </c>
      <c r="J40" s="640" t="str">
        <f t="shared" si="3"/>
        <v/>
      </c>
      <c r="K40" s="124" t="str">
        <f t="shared" si="4"/>
        <v/>
      </c>
      <c r="N40" s="224">
        <v>17</v>
      </c>
    </row>
    <row r="41" spans="2:14" hidden="1">
      <c r="B41" s="177" t="str">
        <f t="shared" si="0"/>
        <v/>
      </c>
      <c r="C41" s="178" t="str">
        <f t="shared" si="1"/>
        <v/>
      </c>
      <c r="F41" s="640" t="str">
        <f>IF(C41="","",IF($D$12="ad",(C41*($D$17-(C41+1)/2-SUM($C$23:C40)+1))/((POWER($D$17,2)+$D$17)/2)*$D$10,IF($D$12="ln",$D$10/$D$17*C41)))</f>
        <v/>
      </c>
      <c r="G41" s="640" t="str">
        <f t="shared" si="5"/>
        <v/>
      </c>
      <c r="H41" s="640" t="str">
        <f t="shared" si="2"/>
        <v/>
      </c>
      <c r="I41" s="640" t="str">
        <f t="shared" si="2"/>
        <v/>
      </c>
      <c r="J41" s="640" t="str">
        <f t="shared" si="3"/>
        <v/>
      </c>
      <c r="K41" s="124" t="str">
        <f t="shared" si="4"/>
        <v/>
      </c>
      <c r="N41" s="224">
        <v>18</v>
      </c>
    </row>
    <row r="42" spans="2:14" hidden="1">
      <c r="B42" s="177" t="str">
        <f t="shared" si="0"/>
        <v/>
      </c>
      <c r="C42" s="178" t="str">
        <f t="shared" si="1"/>
        <v/>
      </c>
      <c r="F42" s="640" t="str">
        <f>IF(C42="","",IF($D$12="ad",(C42*($D$17-(C42+1)/2-SUM($C$23:C41)+1))/((POWER($D$17,2)+$D$17)/2)*$D$10,IF($D$12="ln",$D$10/$D$17*C42)))</f>
        <v/>
      </c>
      <c r="G42" s="640" t="str">
        <f t="shared" si="5"/>
        <v/>
      </c>
      <c r="H42" s="640" t="str">
        <f t="shared" si="2"/>
        <v/>
      </c>
      <c r="I42" s="640" t="str">
        <f t="shared" si="2"/>
        <v/>
      </c>
      <c r="J42" s="640" t="str">
        <f t="shared" si="3"/>
        <v/>
      </c>
      <c r="K42" s="124" t="str">
        <f t="shared" si="4"/>
        <v/>
      </c>
      <c r="N42" s="224">
        <v>19</v>
      </c>
    </row>
    <row r="43" spans="2:14" hidden="1">
      <c r="B43" s="177" t="str">
        <f t="shared" si="0"/>
        <v/>
      </c>
      <c r="C43" s="178" t="str">
        <f t="shared" si="1"/>
        <v/>
      </c>
      <c r="F43" s="640" t="str">
        <f>IF(C43="","",IF($D$12="ad",(C43*($D$17-(C43+1)/2-SUM($C$23:C42)+1))/((POWER($D$17,2)+$D$17)/2)*$D$10,IF($D$12="ln",$D$10/$D$17*C43)))</f>
        <v/>
      </c>
      <c r="G43" s="640" t="str">
        <f t="shared" si="5"/>
        <v/>
      </c>
      <c r="H43" s="640" t="str">
        <f t="shared" si="2"/>
        <v/>
      </c>
      <c r="I43" s="640" t="str">
        <f t="shared" si="2"/>
        <v/>
      </c>
      <c r="J43" s="640" t="str">
        <f t="shared" si="3"/>
        <v/>
      </c>
      <c r="K43" s="124" t="str">
        <f t="shared" si="4"/>
        <v/>
      </c>
      <c r="N43" s="224">
        <v>20</v>
      </c>
    </row>
    <row r="44" spans="2:14" hidden="1">
      <c r="F44" s="640" t="str">
        <f>IF(C44="","",IF($D$12="ad",(C44*($D$17-(C44+1)/2-SUM($C$23:C43)+1))/((POWER($D$17,2)+$D$17)/2)*$D$10,IF($D$12="ln",$D$10/$D$17*C44)))</f>
        <v/>
      </c>
    </row>
  </sheetData>
  <sheetProtection algorithmName="SHA-512" hashValue="2MkWQWkgBysNd03ynAHL3JSi0JbiKG4gAwNJ8p+nYb+a1XYAbCKbMSuwx6HQiS3PfXLQ2ItOXlPrOMK1GXSOuA==" saltValue="rBb0BkSfFi4SvihBvjTiLA==" spinCount="100000" sheet="1" objects="1" scenarios="1"/>
  <mergeCells count="14">
    <mergeCell ref="B1:K1"/>
    <mergeCell ref="C9:F9"/>
    <mergeCell ref="E11:K11"/>
    <mergeCell ref="E12:K12"/>
    <mergeCell ref="C5:G5"/>
    <mergeCell ref="B2:K2"/>
    <mergeCell ref="K20:K22"/>
    <mergeCell ref="J20:J22"/>
    <mergeCell ref="B3:J3"/>
    <mergeCell ref="E21:G21"/>
    <mergeCell ref="B21:B22"/>
    <mergeCell ref="C21:C22"/>
    <mergeCell ref="H21:I21"/>
    <mergeCell ref="G15:G16"/>
  </mergeCells>
  <dataValidations count="3">
    <dataValidation type="list" allowBlank="1" showInputMessage="1" showErrorMessage="1" sqref="D11" xr:uid="{9815C354-E7FE-44AD-800C-5D9999AEEE37}">
      <formula1>$N$11:$O$11</formula1>
    </dataValidation>
    <dataValidation type="list" allowBlank="1" showInputMessage="1" showErrorMessage="1" sqref="D12" xr:uid="{74861FEE-7038-4B0F-A196-E294BECC004F}">
      <formula1>$N$12:$O$12</formula1>
    </dataValidation>
    <dataValidation type="list" allowBlank="1" showInputMessage="1" showErrorMessage="1" sqref="F19" xr:uid="{D241C56A-8AA0-49B3-86B5-D50D13B6DF9A}">
      <formula1>$N$19:$O$19</formula1>
    </dataValidation>
  </dataValidations>
  <hyperlinks>
    <hyperlink ref="M1" location="Inhaltsverzeichnis!A1" display="zum Inhaltsverzeichnis" xr:uid="{0F5609A0-FFB9-4EB8-961B-E5C3F421AFD7}"/>
  </hyperlinks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7E82-0C46-4FCF-ADC8-517B229AA380}">
  <sheetPr>
    <pageSetUpPr fitToPage="1"/>
  </sheetPr>
  <dimension ref="A1:M25"/>
  <sheetViews>
    <sheetView showGridLines="0" zoomScaleNormal="100" workbookViewId="0">
      <pane ySplit="8" topLeftCell="A9" activePane="bottomLeft" state="frozen"/>
      <selection pane="bottomLeft" activeCell="M1" sqref="M1"/>
    </sheetView>
  </sheetViews>
  <sheetFormatPr baseColWidth="10" defaultColWidth="0" defaultRowHeight="14.65" customHeight="1" zeroHeight="1"/>
  <cols>
    <col min="1" max="1" width="1.7109375" style="912" customWidth="1"/>
    <col min="2" max="2" width="28.5703125" style="912" customWidth="1"/>
    <col min="3" max="3" width="12.85546875" style="912" customWidth="1"/>
    <col min="4" max="4" width="11" style="912" customWidth="1"/>
    <col min="5" max="5" width="21.7109375" style="912" customWidth="1"/>
    <col min="6" max="6" width="12" style="912" customWidth="1"/>
    <col min="7" max="7" width="16.28515625" style="912" customWidth="1"/>
    <col min="8" max="10" width="14.140625" style="912" customWidth="1"/>
    <col min="11" max="11" width="20.28515625" style="912" customWidth="1"/>
    <col min="12" max="12" width="1.7109375" style="912" customWidth="1"/>
    <col min="13" max="13" width="21.7109375" style="912" customWidth="1"/>
    <col min="14" max="16384" width="11.42578125" style="912" hidden="1"/>
  </cols>
  <sheetData>
    <row r="1" spans="2:13" ht="35.1" customHeight="1">
      <c r="B1" s="1131" t="s">
        <v>428</v>
      </c>
      <c r="C1" s="1170"/>
      <c r="D1" s="1170"/>
      <c r="E1" s="1170"/>
      <c r="F1" s="1170"/>
      <c r="G1" s="1170"/>
      <c r="H1" s="1170"/>
      <c r="I1" s="1170"/>
      <c r="J1" s="1170"/>
      <c r="K1" s="1170"/>
      <c r="M1" s="913" t="s">
        <v>269</v>
      </c>
    </row>
    <row r="2" spans="2:13" ht="15">
      <c r="B2" s="1135" t="s">
        <v>430</v>
      </c>
      <c r="C2" s="1148"/>
      <c r="D2" s="1148"/>
      <c r="E2" s="1148"/>
      <c r="F2" s="1155" t="s">
        <v>575</v>
      </c>
      <c r="G2" s="1155"/>
      <c r="H2" s="1155"/>
      <c r="I2" s="1155"/>
      <c r="J2" s="1092"/>
      <c r="K2" s="915"/>
      <c r="L2" s="981"/>
      <c r="M2" s="982"/>
    </row>
    <row r="3" spans="2:13" ht="15">
      <c r="B3" s="1175" t="s">
        <v>396</v>
      </c>
      <c r="C3" s="1176"/>
      <c r="D3" s="1176"/>
      <c r="E3" s="978"/>
      <c r="F3" s="978"/>
      <c r="G3" s="978"/>
      <c r="H3" s="978"/>
      <c r="I3" s="978"/>
      <c r="J3" s="978"/>
      <c r="K3" s="915"/>
      <c r="L3" s="981"/>
      <c r="M3" s="982"/>
    </row>
    <row r="4" spans="2:13" ht="15" customHeight="1">
      <c r="B4" s="916"/>
      <c r="K4" s="983" t="s">
        <v>314</v>
      </c>
    </row>
    <row r="5" spans="2:13" ht="15">
      <c r="B5" s="18" t="s">
        <v>75</v>
      </c>
      <c r="C5" s="1157" t="str">
        <f>Mandantendaten!C3</f>
        <v>Max Mustermann</v>
      </c>
      <c r="D5" s="1174"/>
      <c r="E5" s="1174"/>
      <c r="F5" s="1174"/>
      <c r="G5" s="1174"/>
      <c r="H5" s="1174"/>
      <c r="I5" s="984"/>
      <c r="J5" s="984"/>
      <c r="K5" s="64">
        <f>Mandantendaten!C5</f>
        <v>44561</v>
      </c>
    </row>
    <row r="6" spans="2:13" ht="15">
      <c r="B6" s="60"/>
      <c r="C6" s="60"/>
      <c r="D6" s="63"/>
      <c r="E6" s="63"/>
      <c r="F6" s="63"/>
      <c r="G6" s="63"/>
      <c r="H6" s="63"/>
      <c r="I6" s="63"/>
      <c r="J6" s="63"/>
      <c r="K6" s="60"/>
    </row>
    <row r="7" spans="2:13" ht="15">
      <c r="B7" s="1203" t="s">
        <v>113</v>
      </c>
      <c r="C7" s="1203" t="s">
        <v>554</v>
      </c>
      <c r="D7" s="1222">
        <f>IF(YEAR($K$5)=2020,$K$5-365,IF(YEAR($K$5)=2024,$K$5-365,IF(YEAR($K$5)=2025,$K$5-365,$K$5-364)))</f>
        <v>44197</v>
      </c>
      <c r="E7" s="1220" t="s">
        <v>431</v>
      </c>
      <c r="F7" s="1218">
        <f>K5</f>
        <v>44561</v>
      </c>
      <c r="G7" s="1205" t="s">
        <v>390</v>
      </c>
      <c r="H7" s="1206"/>
      <c r="I7" s="1205" t="s">
        <v>391</v>
      </c>
      <c r="J7" s="1206"/>
      <c r="K7" s="1215" t="s">
        <v>398</v>
      </c>
    </row>
    <row r="8" spans="2:13" ht="15">
      <c r="B8" s="1204"/>
      <c r="C8" s="1204"/>
      <c r="D8" s="1223"/>
      <c r="E8" s="1221"/>
      <c r="F8" s="1219"/>
      <c r="G8" s="864" t="s">
        <v>435</v>
      </c>
      <c r="H8" s="865">
        <f>K5</f>
        <v>44561</v>
      </c>
      <c r="I8" s="864" t="s">
        <v>435</v>
      </c>
      <c r="J8" s="865">
        <f>K5</f>
        <v>44561</v>
      </c>
      <c r="K8" s="1216"/>
    </row>
    <row r="9" spans="2:13" ht="15">
      <c r="B9" s="103" t="s">
        <v>432</v>
      </c>
      <c r="C9" s="1213">
        <v>10000</v>
      </c>
      <c r="D9" s="1214"/>
      <c r="E9" s="1213">
        <v>9000</v>
      </c>
      <c r="F9" s="1217"/>
      <c r="G9" s="985">
        <f>IF(E9&lt;C9,C9-E9,0)</f>
        <v>1000</v>
      </c>
      <c r="H9" s="792">
        <f>IF(G9&gt;0,E9,C9)</f>
        <v>9000</v>
      </c>
      <c r="I9" s="792">
        <f>IF(AND(E9&lt;C9,Mandantendaten!C13="Ja"),C9-E9,0)</f>
        <v>1000</v>
      </c>
      <c r="J9" s="792">
        <f>IF(I9&gt;0,E9,C9)</f>
        <v>9000</v>
      </c>
      <c r="K9" s="793">
        <f>J9-H9</f>
        <v>0</v>
      </c>
    </row>
    <row r="10" spans="2:13" ht="15">
      <c r="B10" s="109" t="s">
        <v>433</v>
      </c>
      <c r="C10" s="1207">
        <v>50000</v>
      </c>
      <c r="D10" s="1209"/>
      <c r="E10" s="1207" t="s">
        <v>434</v>
      </c>
      <c r="F10" s="1208"/>
      <c r="G10" s="985">
        <f>IF(E10&lt;C10,C10-E10,0)</f>
        <v>0</v>
      </c>
      <c r="H10" s="792">
        <f t="shared" ref="H10:H21" si="0">IF(G10&gt;0,E10,C10)</f>
        <v>50000</v>
      </c>
      <c r="I10" s="792">
        <f>IF(AND(E10&lt;C10,Mandantendaten!C14="Ja"),C10-E10,0)</f>
        <v>0</v>
      </c>
      <c r="J10" s="792">
        <f t="shared" ref="J10:J21" si="1">IF(I10&gt;0,E10,C10)</f>
        <v>50000</v>
      </c>
      <c r="K10" s="793">
        <f t="shared" ref="K10:K21" si="2">J10-H10</f>
        <v>0</v>
      </c>
    </row>
    <row r="11" spans="2:13" ht="15">
      <c r="B11" s="109"/>
      <c r="C11" s="1207"/>
      <c r="D11" s="1209"/>
      <c r="E11" s="1207"/>
      <c r="F11" s="1208"/>
      <c r="G11" s="985">
        <f t="shared" ref="G11:G21" si="3">IF(E11&lt;C11,C11-E11,0)</f>
        <v>0</v>
      </c>
      <c r="H11" s="792">
        <f t="shared" si="0"/>
        <v>0</v>
      </c>
      <c r="I11" s="792">
        <f>IF(AND(E11&lt;C11,Mandantendaten!C15="Ja"),C11-E11,0)</f>
        <v>0</v>
      </c>
      <c r="J11" s="792">
        <f t="shared" si="1"/>
        <v>0</v>
      </c>
      <c r="K11" s="793">
        <f t="shared" si="2"/>
        <v>0</v>
      </c>
    </row>
    <row r="12" spans="2:13" ht="15">
      <c r="B12" s="109"/>
      <c r="C12" s="1207"/>
      <c r="D12" s="1209"/>
      <c r="E12" s="1207"/>
      <c r="F12" s="1208"/>
      <c r="G12" s="985">
        <f t="shared" si="3"/>
        <v>0</v>
      </c>
      <c r="H12" s="792">
        <f t="shared" si="0"/>
        <v>0</v>
      </c>
      <c r="I12" s="792">
        <f>IF(AND(E12&lt;C12,Mandantendaten!C16="Ja"),C12-E12,0)</f>
        <v>0</v>
      </c>
      <c r="J12" s="792">
        <f t="shared" si="1"/>
        <v>0</v>
      </c>
      <c r="K12" s="793">
        <f t="shared" si="2"/>
        <v>0</v>
      </c>
    </row>
    <row r="13" spans="2:13" ht="15">
      <c r="B13" s="109"/>
      <c r="C13" s="1207"/>
      <c r="D13" s="1209"/>
      <c r="E13" s="1207"/>
      <c r="F13" s="1208"/>
      <c r="G13" s="985">
        <f t="shared" si="3"/>
        <v>0</v>
      </c>
      <c r="H13" s="792">
        <f t="shared" si="0"/>
        <v>0</v>
      </c>
      <c r="I13" s="792">
        <f>IF(AND(E13&lt;C13,Mandantendaten!C17="Ja"),C13-E13,0)</f>
        <v>0</v>
      </c>
      <c r="J13" s="792">
        <f t="shared" si="1"/>
        <v>0</v>
      </c>
      <c r="K13" s="793">
        <f t="shared" si="2"/>
        <v>0</v>
      </c>
    </row>
    <row r="14" spans="2:13" ht="15">
      <c r="B14" s="109"/>
      <c r="C14" s="1207"/>
      <c r="D14" s="1209"/>
      <c r="E14" s="1207"/>
      <c r="F14" s="1208"/>
      <c r="G14" s="985">
        <f t="shared" si="3"/>
        <v>0</v>
      </c>
      <c r="H14" s="792">
        <f t="shared" si="0"/>
        <v>0</v>
      </c>
      <c r="I14" s="792">
        <f>IF(AND(E14&lt;C14,Mandantendaten!C18="Ja"),C14-E14,0)</f>
        <v>0</v>
      </c>
      <c r="J14" s="792">
        <f t="shared" si="1"/>
        <v>0</v>
      </c>
      <c r="K14" s="793">
        <f t="shared" si="2"/>
        <v>0</v>
      </c>
    </row>
    <row r="15" spans="2:13" ht="15">
      <c r="B15" s="109"/>
      <c r="C15" s="1207"/>
      <c r="D15" s="1209"/>
      <c r="E15" s="1207"/>
      <c r="F15" s="1208"/>
      <c r="G15" s="985">
        <f t="shared" si="3"/>
        <v>0</v>
      </c>
      <c r="H15" s="792">
        <f t="shared" si="0"/>
        <v>0</v>
      </c>
      <c r="I15" s="792">
        <f>IF(AND(E15&lt;C15,Mandantendaten!C19="Ja"),C15-E15,0)</f>
        <v>0</v>
      </c>
      <c r="J15" s="792">
        <f t="shared" si="1"/>
        <v>0</v>
      </c>
      <c r="K15" s="793">
        <f t="shared" si="2"/>
        <v>0</v>
      </c>
    </row>
    <row r="16" spans="2:13" ht="15">
      <c r="B16" s="109"/>
      <c r="C16" s="1207"/>
      <c r="D16" s="1209"/>
      <c r="E16" s="1207"/>
      <c r="F16" s="1208"/>
      <c r="G16" s="985">
        <f t="shared" si="3"/>
        <v>0</v>
      </c>
      <c r="H16" s="792">
        <f t="shared" si="0"/>
        <v>0</v>
      </c>
      <c r="I16" s="792">
        <f>IF(AND(E16&lt;C16,Mandantendaten!C20="Ja"),C16-E16,0)</f>
        <v>0</v>
      </c>
      <c r="J16" s="792">
        <f t="shared" si="1"/>
        <v>0</v>
      </c>
      <c r="K16" s="793">
        <f t="shared" si="2"/>
        <v>0</v>
      </c>
    </row>
    <row r="17" spans="2:11" ht="15">
      <c r="B17" s="109"/>
      <c r="C17" s="1207"/>
      <c r="D17" s="1209"/>
      <c r="E17" s="1207"/>
      <c r="F17" s="1208"/>
      <c r="G17" s="985">
        <f t="shared" si="3"/>
        <v>0</v>
      </c>
      <c r="H17" s="792">
        <f t="shared" si="0"/>
        <v>0</v>
      </c>
      <c r="I17" s="792">
        <f>IF(AND(E17&lt;C17,Mandantendaten!C21="Ja"),C17-E17,0)</f>
        <v>0</v>
      </c>
      <c r="J17" s="792">
        <f t="shared" si="1"/>
        <v>0</v>
      </c>
      <c r="K17" s="793">
        <f t="shared" si="2"/>
        <v>0</v>
      </c>
    </row>
    <row r="18" spans="2:11" ht="15">
      <c r="B18" s="109"/>
      <c r="C18" s="1207"/>
      <c r="D18" s="1209"/>
      <c r="E18" s="1207"/>
      <c r="F18" s="1208"/>
      <c r="G18" s="985">
        <f t="shared" si="3"/>
        <v>0</v>
      </c>
      <c r="H18" s="792">
        <f t="shared" si="0"/>
        <v>0</v>
      </c>
      <c r="I18" s="792">
        <f>IF(AND(E18&lt;C18,Mandantendaten!C22="Ja"),C18-E18,0)</f>
        <v>0</v>
      </c>
      <c r="J18" s="792">
        <f t="shared" si="1"/>
        <v>0</v>
      </c>
      <c r="K18" s="793">
        <f t="shared" si="2"/>
        <v>0</v>
      </c>
    </row>
    <row r="19" spans="2:11" ht="15">
      <c r="B19" s="109"/>
      <c r="C19" s="1207"/>
      <c r="D19" s="1209"/>
      <c r="E19" s="1207"/>
      <c r="F19" s="1208"/>
      <c r="G19" s="985">
        <f t="shared" si="3"/>
        <v>0</v>
      </c>
      <c r="H19" s="792">
        <f t="shared" si="0"/>
        <v>0</v>
      </c>
      <c r="I19" s="792">
        <f>IF(AND(E19&lt;C19,Mandantendaten!C23="Ja"),C19-E19,0)</f>
        <v>0</v>
      </c>
      <c r="J19" s="792">
        <f t="shared" si="1"/>
        <v>0</v>
      </c>
      <c r="K19" s="793">
        <f t="shared" si="2"/>
        <v>0</v>
      </c>
    </row>
    <row r="20" spans="2:11" ht="15">
      <c r="B20" s="109"/>
      <c r="C20" s="1207"/>
      <c r="D20" s="1209"/>
      <c r="E20" s="1207"/>
      <c r="F20" s="1208"/>
      <c r="G20" s="985">
        <f t="shared" si="3"/>
        <v>0</v>
      </c>
      <c r="H20" s="792">
        <f t="shared" si="0"/>
        <v>0</v>
      </c>
      <c r="I20" s="792">
        <f>IF(AND(E20&lt;C20,Mandantendaten!C24="Ja"),C20-E20,0)</f>
        <v>0</v>
      </c>
      <c r="J20" s="792">
        <f t="shared" si="1"/>
        <v>0</v>
      </c>
      <c r="K20" s="793">
        <f t="shared" si="2"/>
        <v>0</v>
      </c>
    </row>
    <row r="21" spans="2:11" ht="15">
      <c r="B21" s="115"/>
      <c r="C21" s="1210"/>
      <c r="D21" s="1212"/>
      <c r="E21" s="1210"/>
      <c r="F21" s="1211"/>
      <c r="G21" s="986">
        <f t="shared" si="3"/>
        <v>0</v>
      </c>
      <c r="H21" s="794">
        <f t="shared" si="0"/>
        <v>0</v>
      </c>
      <c r="I21" s="794">
        <f>IF(AND(E21&lt;C21,Mandantendaten!C25="Ja"),C21-E21,0)</f>
        <v>0</v>
      </c>
      <c r="J21" s="794">
        <f t="shared" si="1"/>
        <v>0</v>
      </c>
      <c r="K21" s="795">
        <f t="shared" si="2"/>
        <v>0</v>
      </c>
    </row>
    <row r="22" spans="2:11" ht="15">
      <c r="B22" s="950"/>
      <c r="C22" s="950"/>
      <c r="D22" s="963"/>
      <c r="E22" s="952"/>
      <c r="F22" s="953"/>
      <c r="G22" s="953"/>
      <c r="H22" s="148"/>
      <c r="I22" s="148"/>
      <c r="J22" s="148"/>
      <c r="K22" s="73"/>
    </row>
    <row r="23" spans="2:11" ht="15">
      <c r="B23" s="83" t="s">
        <v>91</v>
      </c>
      <c r="C23" s="83"/>
      <c r="D23" s="85"/>
      <c r="E23" s="85"/>
      <c r="F23" s="85"/>
      <c r="G23" s="85">
        <f t="shared" ref="G23:J23" si="4">SUM(G9:G21)</f>
        <v>1000</v>
      </c>
      <c r="H23" s="85">
        <f t="shared" si="4"/>
        <v>59000</v>
      </c>
      <c r="I23" s="85">
        <f t="shared" si="4"/>
        <v>1000</v>
      </c>
      <c r="J23" s="85">
        <f t="shared" si="4"/>
        <v>59000</v>
      </c>
      <c r="K23" s="85">
        <f>SUM(K9:K21)</f>
        <v>0</v>
      </c>
    </row>
    <row r="24" spans="2:11" ht="15">
      <c r="B24" s="958"/>
      <c r="C24" s="958"/>
      <c r="D24" s="960"/>
      <c r="E24" s="960"/>
      <c r="F24" s="961"/>
      <c r="G24" s="961"/>
      <c r="H24" s="68"/>
      <c r="I24" s="68"/>
      <c r="J24" s="68"/>
      <c r="K24" s="60"/>
    </row>
    <row r="25" spans="2:11" ht="14.65" customHeight="1"/>
  </sheetData>
  <sheetProtection algorithmName="SHA-512" hashValue="jxAfbOS0afqIZQy0quSALS5l9Fe7p1PPUv6QLkM+PXO7isCYEqlmRomuJU096eRU9qDdxsqJVHaNEGzBmZcs6A==" saltValue="aZBGZZWYZ9Nq1Fq2KlUi9Q==" spinCount="100000" sheet="1" objects="1" scenarios="1"/>
  <mergeCells count="39">
    <mergeCell ref="B1:K1"/>
    <mergeCell ref="C5:H5"/>
    <mergeCell ref="B2:E2"/>
    <mergeCell ref="B3:D3"/>
    <mergeCell ref="F2:J2"/>
    <mergeCell ref="C10:D10"/>
    <mergeCell ref="C9:D9"/>
    <mergeCell ref="K7:K8"/>
    <mergeCell ref="E12:F12"/>
    <mergeCell ref="E11:F11"/>
    <mergeCell ref="E10:F10"/>
    <mergeCell ref="E9:F9"/>
    <mergeCell ref="F7:F8"/>
    <mergeCell ref="I7:J7"/>
    <mergeCell ref="E7:E8"/>
    <mergeCell ref="D7:D8"/>
    <mergeCell ref="C7:C8"/>
    <mergeCell ref="E21:F21"/>
    <mergeCell ref="E20:F20"/>
    <mergeCell ref="E19:F19"/>
    <mergeCell ref="C21:D21"/>
    <mergeCell ref="C20:D20"/>
    <mergeCell ref="C19:D19"/>
    <mergeCell ref="B7:B8"/>
    <mergeCell ref="G7:H7"/>
    <mergeCell ref="E18:F18"/>
    <mergeCell ref="E17:F17"/>
    <mergeCell ref="E16:F16"/>
    <mergeCell ref="E15:F15"/>
    <mergeCell ref="E14:F14"/>
    <mergeCell ref="C18:D18"/>
    <mergeCell ref="C17:D17"/>
    <mergeCell ref="C16:D16"/>
    <mergeCell ref="C15:D15"/>
    <mergeCell ref="C14:D14"/>
    <mergeCell ref="E13:F13"/>
    <mergeCell ref="C13:D13"/>
    <mergeCell ref="C12:D12"/>
    <mergeCell ref="C11:D11"/>
  </mergeCells>
  <hyperlinks>
    <hyperlink ref="M1" location="Inhaltsverzeichnis!A1" display="zum Inhaltsverzeichnis" xr:uid="{296D536C-197E-4FAC-A455-F0B356446E26}"/>
  </hyperlinks>
  <pageMargins left="0.7" right="0.7" top="0.78740157499999996" bottom="0.78740157499999996" header="0.3" footer="0.3"/>
  <pageSetup paperSize="9" scale="74" orientation="landscape" r:id="rId1"/>
  <colBreaks count="1" manualBreakCount="1">
    <brk id="12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945C9-4E85-4B35-B862-CCE506D90573}">
  <sheetPr>
    <pageSetUpPr fitToPage="1"/>
  </sheetPr>
  <dimension ref="A1:AA27"/>
  <sheetViews>
    <sheetView showGridLines="0" topLeftCell="L1" zoomScaleNormal="100" workbookViewId="0">
      <pane ySplit="9" topLeftCell="A18" activePane="bottomLeft" state="frozen"/>
      <selection pane="bottomLeft" activeCell="J2" sqref="J2:O2"/>
    </sheetView>
  </sheetViews>
  <sheetFormatPr baseColWidth="10" defaultColWidth="0" defaultRowHeight="14.65" customHeight="1" zeroHeight="1"/>
  <cols>
    <col min="1" max="1" width="1.7109375" style="912" customWidth="1"/>
    <col min="2" max="2" width="21.140625" style="912" customWidth="1"/>
    <col min="3" max="3" width="12.7109375" style="912" customWidth="1"/>
    <col min="4" max="4" width="12.140625" style="912" customWidth="1"/>
    <col min="5" max="5" width="7.85546875" style="912" customWidth="1"/>
    <col min="6" max="6" width="8.85546875" style="912" customWidth="1"/>
    <col min="7" max="7" width="5.85546875" style="912" customWidth="1"/>
    <col min="8" max="8" width="10" style="912" customWidth="1"/>
    <col min="9" max="9" width="13.5703125" style="912" customWidth="1"/>
    <col min="10" max="10" width="9.85546875" style="912" customWidth="1"/>
    <col min="11" max="11" width="14" style="912" customWidth="1"/>
    <col min="12" max="12" width="9.85546875" style="912" customWidth="1"/>
    <col min="13" max="13" width="10.42578125" style="912" customWidth="1"/>
    <col min="14" max="16" width="9.85546875" style="912" customWidth="1"/>
    <col min="17" max="17" width="11.85546875" style="912" customWidth="1"/>
    <col min="18" max="18" width="12.28515625" style="912" customWidth="1"/>
    <col min="19" max="20" width="9.85546875" style="912" customWidth="1"/>
    <col min="21" max="21" width="10.140625" style="912" customWidth="1"/>
    <col min="22" max="22" width="11.7109375" style="912" customWidth="1"/>
    <col min="23" max="23" width="12.5703125" style="912" customWidth="1"/>
    <col min="24" max="24" width="11.28515625" style="912" customWidth="1"/>
    <col min="25" max="25" width="13.7109375" style="912" customWidth="1"/>
    <col min="26" max="26" width="1.7109375" style="912" customWidth="1"/>
    <col min="27" max="27" width="21.7109375" style="912" customWidth="1"/>
    <col min="28" max="16384" width="11.42578125" style="912" hidden="1"/>
  </cols>
  <sheetData>
    <row r="1" spans="2:27" ht="35.1" customHeight="1">
      <c r="B1" s="1131" t="s">
        <v>485</v>
      </c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1149"/>
      <c r="N1" s="1149"/>
      <c r="O1" s="928"/>
      <c r="P1" s="928"/>
      <c r="Q1" s="928"/>
      <c r="R1" s="928"/>
      <c r="S1" s="928"/>
      <c r="T1" s="928"/>
      <c r="U1" s="928"/>
      <c r="V1" s="928"/>
      <c r="W1" s="928"/>
      <c r="X1" s="928"/>
      <c r="Y1" s="928"/>
      <c r="AA1" s="913" t="s">
        <v>269</v>
      </c>
    </row>
    <row r="2" spans="2:27" ht="15">
      <c r="B2" s="1135" t="s">
        <v>430</v>
      </c>
      <c r="C2" s="1148"/>
      <c r="D2" s="1148"/>
      <c r="E2" s="1148"/>
      <c r="F2" s="1148"/>
      <c r="G2" s="1148"/>
      <c r="H2" s="1148"/>
      <c r="I2" s="915"/>
      <c r="J2" s="1169" t="s">
        <v>574</v>
      </c>
      <c r="K2" s="1169"/>
      <c r="L2" s="1169"/>
      <c r="M2" s="1169"/>
      <c r="N2" s="1169"/>
      <c r="O2" s="1169"/>
      <c r="P2" s="915"/>
      <c r="Q2" s="915"/>
      <c r="R2" s="915"/>
      <c r="S2" s="915"/>
      <c r="T2" s="915"/>
      <c r="U2" s="915"/>
      <c r="V2" s="915"/>
      <c r="W2" s="915"/>
      <c r="X2" s="915"/>
      <c r="Y2" s="915"/>
      <c r="AA2" s="913"/>
    </row>
    <row r="3" spans="2:27" ht="15">
      <c r="B3" s="1175" t="s">
        <v>504</v>
      </c>
      <c r="C3" s="1176"/>
      <c r="D3" s="1176"/>
      <c r="E3" s="1176"/>
      <c r="F3" s="1176"/>
      <c r="G3" s="1176"/>
      <c r="H3" s="1176"/>
      <c r="I3" s="978"/>
      <c r="J3" s="978"/>
      <c r="K3" s="978"/>
      <c r="L3" s="978"/>
      <c r="M3" s="978"/>
      <c r="N3" s="978"/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15"/>
      <c r="AA3" s="913"/>
    </row>
    <row r="4" spans="2:27" ht="15">
      <c r="C4" s="987"/>
      <c r="D4" s="987"/>
      <c r="E4" s="987"/>
      <c r="F4" s="987"/>
      <c r="G4" s="987"/>
      <c r="H4" s="987"/>
      <c r="I4" s="987"/>
      <c r="J4" s="987"/>
      <c r="K4" s="987"/>
      <c r="L4" s="987"/>
      <c r="M4" s="987"/>
      <c r="N4" s="987"/>
      <c r="O4" s="987"/>
      <c r="P4" s="987"/>
      <c r="Q4" s="987"/>
      <c r="R4" s="987"/>
      <c r="S4" s="987"/>
      <c r="T4" s="987"/>
      <c r="U4" s="987"/>
      <c r="V4" s="987"/>
      <c r="W4" s="987"/>
      <c r="X4" s="987"/>
      <c r="Y4" s="915"/>
      <c r="AA4" s="913"/>
    </row>
    <row r="5" spans="2:27" ht="15">
      <c r="B5" s="18" t="s">
        <v>75</v>
      </c>
      <c r="C5" s="18"/>
      <c r="D5" s="18"/>
      <c r="E5" s="18"/>
      <c r="F5" s="18"/>
      <c r="G5" s="1157" t="str">
        <f>Mandantendaten!C3</f>
        <v>Max Mustermann</v>
      </c>
      <c r="H5" s="1174"/>
      <c r="I5" s="1174"/>
      <c r="J5" s="1174"/>
      <c r="K5" s="1174"/>
      <c r="L5" s="1174"/>
      <c r="M5" s="1174"/>
      <c r="N5" s="1174"/>
      <c r="O5" s="1174"/>
      <c r="P5" s="1174"/>
      <c r="Q5" s="1174"/>
      <c r="R5" s="1174"/>
      <c r="S5" s="1174"/>
      <c r="T5" s="984"/>
      <c r="U5" s="984"/>
      <c r="V5" s="984"/>
      <c r="W5" s="984"/>
      <c r="X5" s="984"/>
      <c r="Y5" s="64">
        <f>Mandantendaten!C5</f>
        <v>44561</v>
      </c>
    </row>
    <row r="6" spans="2:27" ht="15">
      <c r="B6" s="18"/>
      <c r="C6" s="18"/>
      <c r="D6" s="18"/>
      <c r="E6" s="18"/>
      <c r="F6" s="18"/>
      <c r="G6" s="886"/>
      <c r="H6" s="984"/>
      <c r="I6" s="984"/>
      <c r="J6" s="984"/>
      <c r="K6" s="984"/>
      <c r="L6" s="984"/>
      <c r="M6" s="984"/>
      <c r="N6" s="984"/>
      <c r="O6" s="984"/>
      <c r="P6" s="984"/>
      <c r="Q6" s="984"/>
      <c r="R6" s="984"/>
      <c r="S6" s="984"/>
      <c r="T6" s="984"/>
      <c r="U6" s="984"/>
      <c r="V6" s="984"/>
      <c r="W6" s="984"/>
      <c r="X6" s="984"/>
      <c r="Y6" s="64"/>
    </row>
    <row r="7" spans="2:27" ht="15">
      <c r="B7" s="822"/>
      <c r="C7" s="822"/>
      <c r="D7" s="822"/>
      <c r="E7" s="988"/>
      <c r="F7" s="822"/>
      <c r="G7" s="822"/>
      <c r="H7" s="823"/>
      <c r="I7" s="823"/>
      <c r="J7" s="823"/>
      <c r="K7" s="823"/>
      <c r="L7" s="823"/>
      <c r="M7" s="823"/>
      <c r="N7" s="823"/>
      <c r="O7" s="1205" t="s">
        <v>390</v>
      </c>
      <c r="P7" s="1244"/>
      <c r="Q7" s="1244"/>
      <c r="R7" s="1244"/>
      <c r="S7" s="1206"/>
      <c r="T7" s="1205" t="s">
        <v>391</v>
      </c>
      <c r="U7" s="1244"/>
      <c r="V7" s="1244"/>
      <c r="W7" s="1244"/>
      <c r="X7" s="1206"/>
      <c r="Y7" s="825"/>
    </row>
    <row r="8" spans="2:27" ht="15">
      <c r="B8" s="1261" t="s">
        <v>113</v>
      </c>
      <c r="C8" s="1259" t="s">
        <v>545</v>
      </c>
      <c r="D8" s="1259" t="s">
        <v>467</v>
      </c>
      <c r="E8" s="1259" t="s">
        <v>451</v>
      </c>
      <c r="F8" s="1257" t="s">
        <v>440</v>
      </c>
      <c r="G8" s="1252" t="s">
        <v>520</v>
      </c>
      <c r="H8" s="1252"/>
      <c r="I8" s="1255" t="s">
        <v>442</v>
      </c>
      <c r="J8" s="1254">
        <f>P8</f>
        <v>44197</v>
      </c>
      <c r="K8" s="1255" t="s">
        <v>442</v>
      </c>
      <c r="L8" s="1254">
        <f>IF(D12&gt;J8,D12,"")</f>
        <v>44228</v>
      </c>
      <c r="M8" s="1249" t="s">
        <v>452</v>
      </c>
      <c r="N8" s="1247">
        <f>Y5</f>
        <v>44561</v>
      </c>
      <c r="O8" s="1246" t="s">
        <v>132</v>
      </c>
      <c r="P8" s="1251">
        <f>IF(YEAR($Y$5)=2020,$Y$5-365,IF(YEAR($Y$5)=2024,$Y$5-365,IF(YEAR($Y$5)=2025,$Y$5-365,$Y$5-364)))</f>
        <v>44197</v>
      </c>
      <c r="Q8" s="989"/>
      <c r="R8" s="989"/>
      <c r="S8" s="990"/>
      <c r="T8" s="1246" t="s">
        <v>132</v>
      </c>
      <c r="U8" s="1251">
        <f>IF(YEAR($Y$5)=2020,$Y$5-365,IF(YEAR($Y$5)=2024,$Y$5-365,IF(YEAR($Y$5)=2025,$Y$5-365,$Y$5-364)))</f>
        <v>44197</v>
      </c>
      <c r="V8" s="991"/>
      <c r="W8" s="991"/>
      <c r="X8" s="992"/>
      <c r="Y8" s="1245" t="s">
        <v>400</v>
      </c>
    </row>
    <row r="9" spans="2:27" ht="29.1" customHeight="1">
      <c r="B9" s="1246"/>
      <c r="C9" s="1260"/>
      <c r="D9" s="1260"/>
      <c r="E9" s="1260"/>
      <c r="F9" s="1258"/>
      <c r="G9" s="1253"/>
      <c r="H9" s="1253"/>
      <c r="I9" s="1256"/>
      <c r="J9" s="1251"/>
      <c r="K9" s="1256"/>
      <c r="L9" s="1251"/>
      <c r="M9" s="1250"/>
      <c r="N9" s="1248"/>
      <c r="O9" s="1246"/>
      <c r="P9" s="1251"/>
      <c r="Q9" s="866" t="s">
        <v>521</v>
      </c>
      <c r="R9" s="866" t="s">
        <v>435</v>
      </c>
      <c r="S9" s="867">
        <f>Y5</f>
        <v>44561</v>
      </c>
      <c r="T9" s="1246"/>
      <c r="U9" s="1251"/>
      <c r="V9" s="866" t="s">
        <v>521</v>
      </c>
      <c r="W9" s="866" t="s">
        <v>435</v>
      </c>
      <c r="X9" s="867">
        <f>Y5</f>
        <v>44561</v>
      </c>
      <c r="Y9" s="1245"/>
    </row>
    <row r="10" spans="2:27" ht="15">
      <c r="B10" s="466" t="s">
        <v>436</v>
      </c>
      <c r="C10" s="891">
        <v>100000</v>
      </c>
      <c r="D10" s="36">
        <v>42005</v>
      </c>
      <c r="E10" s="803">
        <v>33.333329999999997</v>
      </c>
      <c r="F10" s="993">
        <f>E10*12</f>
        <v>399.99995999999999</v>
      </c>
      <c r="G10" s="1232">
        <v>100000</v>
      </c>
      <c r="H10" s="1232"/>
      <c r="I10" s="1228">
        <f t="shared" ref="I10:I23" si="0">IF(D10&gt;$J$8,"",IF(F10-DATEDIF(D10,$P$8,"M")&gt;0,F10-DATEDIF(D10,$P$8,"M"),""))</f>
        <v>327.99995999999999</v>
      </c>
      <c r="J10" s="1228"/>
      <c r="K10" s="1228" t="str">
        <f>IF(D10&gt;$J$8,F10,"")</f>
        <v/>
      </c>
      <c r="L10" s="1228"/>
      <c r="M10" s="1232">
        <v>80000</v>
      </c>
      <c r="N10" s="1233"/>
      <c r="O10" s="1236">
        <v>85000</v>
      </c>
      <c r="P10" s="1235"/>
      <c r="Q10" s="820">
        <f t="shared" ref="Q10:Q23" si="1">IF(D10="",0,IF(O10=0,G10/F10*(12-DATEDIF($P$8,D10,"M")),IF(AND(I10&gt;11,(O10-(G10/F10*12))&gt;0),G10/F10*12,O10)))</f>
        <v>3000.0003000000297</v>
      </c>
      <c r="R10" s="994">
        <f t="shared" ref="R10:R23" si="2">IF(AND(M10&gt;0,$P$8&gt;D10),O10-Q10-M10,IF(AND($P$8&lt;D10,M10&gt;0),C10-Q10-M10,0))</f>
        <v>1999.9996999999712</v>
      </c>
      <c r="S10" s="821">
        <f t="shared" ref="S10:S23" si="3">IF($P$8&gt;D10,O10-Q10-R10,C10-Q10-R10)</f>
        <v>80000</v>
      </c>
      <c r="T10" s="1234">
        <v>85000</v>
      </c>
      <c r="U10" s="1235"/>
      <c r="V10" s="820">
        <f>IF(D10="",0,IF(T10=0,G10/F10*(12-DATEDIF($P$8,D10,"M")),IF(AND(I10&gt;11,(T10-(G10/F10*12))&gt;0),G10/F10*12,O10)))</f>
        <v>3000.0003000000297</v>
      </c>
      <c r="W10" s="908">
        <v>0</v>
      </c>
      <c r="X10" s="821">
        <f t="shared" ref="X10:X23" si="4">IF($U$8&gt;D10,T10-V10-W10,C10-V10-W10)</f>
        <v>81999.999699999971</v>
      </c>
      <c r="Y10" s="826">
        <f t="shared" ref="Y10:Y23" si="5">X10-S10</f>
        <v>1999.9996999999712</v>
      </c>
    </row>
    <row r="11" spans="2:27" ht="15">
      <c r="B11" s="467" t="s">
        <v>441</v>
      </c>
      <c r="C11" s="889">
        <v>50000</v>
      </c>
      <c r="D11" s="42">
        <v>42370</v>
      </c>
      <c r="E11" s="800">
        <v>33.333333000000003</v>
      </c>
      <c r="F11" s="995">
        <f t="shared" ref="F11:F23" si="6">E11*12</f>
        <v>399.99999600000001</v>
      </c>
      <c r="G11" s="1224">
        <v>50000</v>
      </c>
      <c r="H11" s="1224"/>
      <c r="I11" s="1229">
        <f t="shared" si="0"/>
        <v>339.99999600000001</v>
      </c>
      <c r="J11" s="1229"/>
      <c r="K11" s="1230" t="str">
        <f t="shared" ref="K11:K23" si="7">IF(D11&gt;$J$8,F11,"")</f>
        <v/>
      </c>
      <c r="L11" s="1231"/>
      <c r="M11" s="1224"/>
      <c r="N11" s="1225"/>
      <c r="O11" s="1227">
        <v>44000</v>
      </c>
      <c r="P11" s="1224"/>
      <c r="Q11" s="801">
        <f t="shared" si="1"/>
        <v>1500.0000150000001</v>
      </c>
      <c r="R11" s="996">
        <f t="shared" si="2"/>
        <v>0</v>
      </c>
      <c r="S11" s="818">
        <f t="shared" si="3"/>
        <v>42499.999985000002</v>
      </c>
      <c r="T11" s="1226">
        <v>44000</v>
      </c>
      <c r="U11" s="1224"/>
      <c r="V11" s="820">
        <f t="shared" ref="V11:V23" si="8">IF(D11="",0,IF(T11=0,G11/F11*(12-DATEDIF($P$8,D11,"M")),IF(AND(I11&gt;11,(T11-(G11/F11*12))&gt;0),G11/F11*12,O11)))</f>
        <v>1500.0000150000001</v>
      </c>
      <c r="W11" s="909">
        <v>0</v>
      </c>
      <c r="X11" s="818">
        <f t="shared" si="4"/>
        <v>42499.999985000002</v>
      </c>
      <c r="Y11" s="827">
        <f t="shared" si="5"/>
        <v>0</v>
      </c>
    </row>
    <row r="12" spans="2:27" ht="15">
      <c r="B12" s="467" t="s">
        <v>503</v>
      </c>
      <c r="C12" s="889">
        <v>60000</v>
      </c>
      <c r="D12" s="42">
        <v>44228</v>
      </c>
      <c r="E12" s="800">
        <v>33.333333000000003</v>
      </c>
      <c r="F12" s="995">
        <f t="shared" si="6"/>
        <v>399.99999600000001</v>
      </c>
      <c r="G12" s="1224">
        <v>60000</v>
      </c>
      <c r="H12" s="1224"/>
      <c r="I12" s="1229" t="str">
        <f t="shared" si="0"/>
        <v/>
      </c>
      <c r="J12" s="1229"/>
      <c r="K12" s="1230">
        <f t="shared" si="7"/>
        <v>399.99999600000001</v>
      </c>
      <c r="L12" s="1231"/>
      <c r="M12" s="1224"/>
      <c r="N12" s="1225"/>
      <c r="O12" s="1227"/>
      <c r="P12" s="1224"/>
      <c r="Q12" s="801">
        <f t="shared" si="1"/>
        <v>1650.0000165000004</v>
      </c>
      <c r="R12" s="996">
        <f t="shared" si="2"/>
        <v>0</v>
      </c>
      <c r="S12" s="818">
        <f t="shared" si="3"/>
        <v>58349.999983499998</v>
      </c>
      <c r="T12" s="1226">
        <v>0</v>
      </c>
      <c r="U12" s="1224"/>
      <c r="V12" s="820">
        <f t="shared" si="8"/>
        <v>1650.0000165000004</v>
      </c>
      <c r="W12" s="909">
        <f>IF(AND(M12&lt;G12,Mandantendaten!C14="Ja"),G12-M12,0)</f>
        <v>0</v>
      </c>
      <c r="X12" s="818">
        <f t="shared" si="4"/>
        <v>58349.999983499998</v>
      </c>
      <c r="Y12" s="827">
        <f t="shared" si="5"/>
        <v>0</v>
      </c>
    </row>
    <row r="13" spans="2:27" ht="15">
      <c r="B13" s="467"/>
      <c r="C13" s="889"/>
      <c r="D13" s="816"/>
      <c r="E13" s="800"/>
      <c r="F13" s="995">
        <f t="shared" si="6"/>
        <v>0</v>
      </c>
      <c r="G13" s="1224"/>
      <c r="H13" s="1224"/>
      <c r="I13" s="1229" t="str">
        <f t="shared" si="0"/>
        <v/>
      </c>
      <c r="J13" s="1229"/>
      <c r="K13" s="1230" t="str">
        <f t="shared" si="7"/>
        <v/>
      </c>
      <c r="L13" s="1231"/>
      <c r="M13" s="1224"/>
      <c r="N13" s="1225"/>
      <c r="O13" s="1227"/>
      <c r="P13" s="1224"/>
      <c r="Q13" s="801">
        <f t="shared" si="1"/>
        <v>0</v>
      </c>
      <c r="R13" s="996">
        <f t="shared" si="2"/>
        <v>0</v>
      </c>
      <c r="S13" s="818">
        <f t="shared" si="3"/>
        <v>0</v>
      </c>
      <c r="T13" s="1226"/>
      <c r="U13" s="1224"/>
      <c r="V13" s="820">
        <f t="shared" si="8"/>
        <v>0</v>
      </c>
      <c r="W13" s="909"/>
      <c r="X13" s="818">
        <f t="shared" si="4"/>
        <v>0</v>
      </c>
      <c r="Y13" s="827">
        <f t="shared" si="5"/>
        <v>0</v>
      </c>
    </row>
    <row r="14" spans="2:27" ht="15">
      <c r="B14" s="467"/>
      <c r="C14" s="889"/>
      <c r="D14" s="816"/>
      <c r="E14" s="800"/>
      <c r="F14" s="995">
        <f t="shared" si="6"/>
        <v>0</v>
      </c>
      <c r="G14" s="1224"/>
      <c r="H14" s="1224"/>
      <c r="I14" s="1229" t="str">
        <f t="shared" si="0"/>
        <v/>
      </c>
      <c r="J14" s="1229"/>
      <c r="K14" s="1230" t="str">
        <f t="shared" si="7"/>
        <v/>
      </c>
      <c r="L14" s="1231"/>
      <c r="M14" s="1224"/>
      <c r="N14" s="1225"/>
      <c r="O14" s="1227"/>
      <c r="P14" s="1224"/>
      <c r="Q14" s="801">
        <f t="shared" si="1"/>
        <v>0</v>
      </c>
      <c r="R14" s="996">
        <f t="shared" si="2"/>
        <v>0</v>
      </c>
      <c r="S14" s="818">
        <f t="shared" si="3"/>
        <v>0</v>
      </c>
      <c r="T14" s="1226"/>
      <c r="U14" s="1224"/>
      <c r="V14" s="820">
        <f t="shared" si="8"/>
        <v>0</v>
      </c>
      <c r="W14" s="909"/>
      <c r="X14" s="818">
        <f t="shared" si="4"/>
        <v>0</v>
      </c>
      <c r="Y14" s="827">
        <f t="shared" si="5"/>
        <v>0</v>
      </c>
    </row>
    <row r="15" spans="2:27" ht="15">
      <c r="B15" s="467"/>
      <c r="C15" s="889"/>
      <c r="D15" s="816"/>
      <c r="E15" s="802"/>
      <c r="F15" s="995">
        <f t="shared" si="6"/>
        <v>0</v>
      </c>
      <c r="G15" s="1224"/>
      <c r="H15" s="1224"/>
      <c r="I15" s="1229" t="str">
        <f t="shared" si="0"/>
        <v/>
      </c>
      <c r="J15" s="1229"/>
      <c r="K15" s="1230" t="str">
        <f t="shared" si="7"/>
        <v/>
      </c>
      <c r="L15" s="1231"/>
      <c r="M15" s="1224"/>
      <c r="N15" s="1225"/>
      <c r="O15" s="1227"/>
      <c r="P15" s="1224"/>
      <c r="Q15" s="801">
        <f t="shared" si="1"/>
        <v>0</v>
      </c>
      <c r="R15" s="996">
        <f t="shared" si="2"/>
        <v>0</v>
      </c>
      <c r="S15" s="818">
        <f t="shared" si="3"/>
        <v>0</v>
      </c>
      <c r="T15" s="1226"/>
      <c r="U15" s="1224"/>
      <c r="V15" s="820">
        <f t="shared" si="8"/>
        <v>0</v>
      </c>
      <c r="W15" s="909"/>
      <c r="X15" s="818">
        <f t="shared" si="4"/>
        <v>0</v>
      </c>
      <c r="Y15" s="827">
        <f t="shared" si="5"/>
        <v>0</v>
      </c>
    </row>
    <row r="16" spans="2:27" ht="15">
      <c r="B16" s="467"/>
      <c r="C16" s="889"/>
      <c r="D16" s="816"/>
      <c r="E16" s="802"/>
      <c r="F16" s="995">
        <f t="shared" si="6"/>
        <v>0</v>
      </c>
      <c r="G16" s="1224"/>
      <c r="H16" s="1224"/>
      <c r="I16" s="1229" t="str">
        <f t="shared" si="0"/>
        <v/>
      </c>
      <c r="J16" s="1229"/>
      <c r="K16" s="1230" t="str">
        <f t="shared" si="7"/>
        <v/>
      </c>
      <c r="L16" s="1231"/>
      <c r="M16" s="1224"/>
      <c r="N16" s="1225"/>
      <c r="O16" s="1227"/>
      <c r="P16" s="1224"/>
      <c r="Q16" s="801">
        <f t="shared" si="1"/>
        <v>0</v>
      </c>
      <c r="R16" s="996">
        <f t="shared" si="2"/>
        <v>0</v>
      </c>
      <c r="S16" s="818">
        <f t="shared" si="3"/>
        <v>0</v>
      </c>
      <c r="T16" s="1226"/>
      <c r="U16" s="1224"/>
      <c r="V16" s="820">
        <f t="shared" si="8"/>
        <v>0</v>
      </c>
      <c r="W16" s="909"/>
      <c r="X16" s="818">
        <f t="shared" si="4"/>
        <v>0</v>
      </c>
      <c r="Y16" s="827">
        <f t="shared" si="5"/>
        <v>0</v>
      </c>
    </row>
    <row r="17" spans="2:25" ht="15">
      <c r="B17" s="467"/>
      <c r="C17" s="889"/>
      <c r="D17" s="816"/>
      <c r="E17" s="802"/>
      <c r="F17" s="995">
        <f t="shared" si="6"/>
        <v>0</v>
      </c>
      <c r="G17" s="1224"/>
      <c r="H17" s="1224"/>
      <c r="I17" s="1229" t="str">
        <f t="shared" si="0"/>
        <v/>
      </c>
      <c r="J17" s="1229"/>
      <c r="K17" s="1230" t="str">
        <f t="shared" si="7"/>
        <v/>
      </c>
      <c r="L17" s="1231"/>
      <c r="M17" s="1224"/>
      <c r="N17" s="1225"/>
      <c r="O17" s="1227"/>
      <c r="P17" s="1224"/>
      <c r="Q17" s="801">
        <f t="shared" si="1"/>
        <v>0</v>
      </c>
      <c r="R17" s="996">
        <f t="shared" si="2"/>
        <v>0</v>
      </c>
      <c r="S17" s="818">
        <f t="shared" si="3"/>
        <v>0</v>
      </c>
      <c r="T17" s="1226"/>
      <c r="U17" s="1224"/>
      <c r="V17" s="820">
        <f t="shared" si="8"/>
        <v>0</v>
      </c>
      <c r="W17" s="909"/>
      <c r="X17" s="818">
        <f t="shared" si="4"/>
        <v>0</v>
      </c>
      <c r="Y17" s="827">
        <f t="shared" si="5"/>
        <v>0</v>
      </c>
    </row>
    <row r="18" spans="2:25" ht="15">
      <c r="B18" s="467"/>
      <c r="C18" s="889"/>
      <c r="D18" s="816"/>
      <c r="E18" s="802"/>
      <c r="F18" s="995">
        <f t="shared" si="6"/>
        <v>0</v>
      </c>
      <c r="G18" s="1224"/>
      <c r="H18" s="1224"/>
      <c r="I18" s="1229" t="str">
        <f t="shared" si="0"/>
        <v/>
      </c>
      <c r="J18" s="1229"/>
      <c r="K18" s="1230" t="str">
        <f t="shared" si="7"/>
        <v/>
      </c>
      <c r="L18" s="1231"/>
      <c r="M18" s="1224"/>
      <c r="N18" s="1225"/>
      <c r="O18" s="1227"/>
      <c r="P18" s="1224"/>
      <c r="Q18" s="801">
        <f t="shared" si="1"/>
        <v>0</v>
      </c>
      <c r="R18" s="996">
        <f t="shared" si="2"/>
        <v>0</v>
      </c>
      <c r="S18" s="818">
        <f t="shared" si="3"/>
        <v>0</v>
      </c>
      <c r="T18" s="1226"/>
      <c r="U18" s="1224"/>
      <c r="V18" s="820">
        <f t="shared" si="8"/>
        <v>0</v>
      </c>
      <c r="W18" s="909"/>
      <c r="X18" s="818">
        <f t="shared" si="4"/>
        <v>0</v>
      </c>
      <c r="Y18" s="827">
        <f t="shared" si="5"/>
        <v>0</v>
      </c>
    </row>
    <row r="19" spans="2:25" ht="15">
      <c r="B19" s="467"/>
      <c r="C19" s="889"/>
      <c r="D19" s="816"/>
      <c r="E19" s="802"/>
      <c r="F19" s="995">
        <f t="shared" si="6"/>
        <v>0</v>
      </c>
      <c r="G19" s="1224"/>
      <c r="H19" s="1224"/>
      <c r="I19" s="1229" t="str">
        <f t="shared" si="0"/>
        <v/>
      </c>
      <c r="J19" s="1229"/>
      <c r="K19" s="1230" t="str">
        <f t="shared" si="7"/>
        <v/>
      </c>
      <c r="L19" s="1231"/>
      <c r="M19" s="1224"/>
      <c r="N19" s="1225"/>
      <c r="O19" s="1227"/>
      <c r="P19" s="1224"/>
      <c r="Q19" s="801">
        <f t="shared" si="1"/>
        <v>0</v>
      </c>
      <c r="R19" s="996">
        <f t="shared" si="2"/>
        <v>0</v>
      </c>
      <c r="S19" s="818">
        <f t="shared" si="3"/>
        <v>0</v>
      </c>
      <c r="T19" s="1226"/>
      <c r="U19" s="1224"/>
      <c r="V19" s="820">
        <f t="shared" si="8"/>
        <v>0</v>
      </c>
      <c r="W19" s="909"/>
      <c r="X19" s="818">
        <f t="shared" si="4"/>
        <v>0</v>
      </c>
      <c r="Y19" s="827">
        <f t="shared" si="5"/>
        <v>0</v>
      </c>
    </row>
    <row r="20" spans="2:25" ht="15">
      <c r="B20" s="467"/>
      <c r="C20" s="889"/>
      <c r="D20" s="816"/>
      <c r="E20" s="802"/>
      <c r="F20" s="995">
        <f t="shared" si="6"/>
        <v>0</v>
      </c>
      <c r="G20" s="1224"/>
      <c r="H20" s="1224"/>
      <c r="I20" s="1229" t="str">
        <f t="shared" si="0"/>
        <v/>
      </c>
      <c r="J20" s="1229"/>
      <c r="K20" s="1230" t="str">
        <f t="shared" si="7"/>
        <v/>
      </c>
      <c r="L20" s="1231"/>
      <c r="M20" s="1224"/>
      <c r="N20" s="1225"/>
      <c r="O20" s="1227"/>
      <c r="P20" s="1224"/>
      <c r="Q20" s="801">
        <f t="shared" si="1"/>
        <v>0</v>
      </c>
      <c r="R20" s="996">
        <f t="shared" si="2"/>
        <v>0</v>
      </c>
      <c r="S20" s="818">
        <f t="shared" si="3"/>
        <v>0</v>
      </c>
      <c r="T20" s="1226"/>
      <c r="U20" s="1224"/>
      <c r="V20" s="820">
        <f t="shared" si="8"/>
        <v>0</v>
      </c>
      <c r="W20" s="909"/>
      <c r="X20" s="818">
        <f t="shared" si="4"/>
        <v>0</v>
      </c>
      <c r="Y20" s="827">
        <f t="shared" si="5"/>
        <v>0</v>
      </c>
    </row>
    <row r="21" spans="2:25" ht="15">
      <c r="B21" s="467"/>
      <c r="C21" s="889"/>
      <c r="D21" s="816"/>
      <c r="E21" s="802"/>
      <c r="F21" s="995">
        <f t="shared" si="6"/>
        <v>0</v>
      </c>
      <c r="G21" s="1224"/>
      <c r="H21" s="1224"/>
      <c r="I21" s="1229" t="str">
        <f t="shared" si="0"/>
        <v/>
      </c>
      <c r="J21" s="1229"/>
      <c r="K21" s="1230" t="str">
        <f t="shared" si="7"/>
        <v/>
      </c>
      <c r="L21" s="1231"/>
      <c r="M21" s="1224"/>
      <c r="N21" s="1225"/>
      <c r="O21" s="1227"/>
      <c r="P21" s="1224"/>
      <c r="Q21" s="801">
        <f t="shared" si="1"/>
        <v>0</v>
      </c>
      <c r="R21" s="996">
        <f t="shared" si="2"/>
        <v>0</v>
      </c>
      <c r="S21" s="818">
        <f t="shared" si="3"/>
        <v>0</v>
      </c>
      <c r="T21" s="1226"/>
      <c r="U21" s="1224"/>
      <c r="V21" s="820">
        <f t="shared" si="8"/>
        <v>0</v>
      </c>
      <c r="W21" s="909"/>
      <c r="X21" s="818">
        <f t="shared" si="4"/>
        <v>0</v>
      </c>
      <c r="Y21" s="827">
        <f t="shared" si="5"/>
        <v>0</v>
      </c>
    </row>
    <row r="22" spans="2:25" ht="15">
      <c r="B22" s="467"/>
      <c r="C22" s="889"/>
      <c r="D22" s="816"/>
      <c r="E22" s="802"/>
      <c r="F22" s="995">
        <f t="shared" si="6"/>
        <v>0</v>
      </c>
      <c r="G22" s="1224"/>
      <c r="H22" s="1224"/>
      <c r="I22" s="1229" t="str">
        <f t="shared" si="0"/>
        <v/>
      </c>
      <c r="J22" s="1229"/>
      <c r="K22" s="1230" t="str">
        <f t="shared" si="7"/>
        <v/>
      </c>
      <c r="L22" s="1231"/>
      <c r="M22" s="1224"/>
      <c r="N22" s="1225"/>
      <c r="O22" s="1227"/>
      <c r="P22" s="1224"/>
      <c r="Q22" s="801">
        <f t="shared" si="1"/>
        <v>0</v>
      </c>
      <c r="R22" s="996">
        <f t="shared" si="2"/>
        <v>0</v>
      </c>
      <c r="S22" s="818">
        <f t="shared" si="3"/>
        <v>0</v>
      </c>
      <c r="T22" s="1226"/>
      <c r="U22" s="1224"/>
      <c r="V22" s="820">
        <f t="shared" si="8"/>
        <v>0</v>
      </c>
      <c r="W22" s="909"/>
      <c r="X22" s="818">
        <f t="shared" si="4"/>
        <v>0</v>
      </c>
      <c r="Y22" s="827">
        <f t="shared" si="5"/>
        <v>0</v>
      </c>
    </row>
    <row r="23" spans="2:25" ht="15">
      <c r="B23" s="468"/>
      <c r="C23" s="890"/>
      <c r="D23" s="817"/>
      <c r="E23" s="804"/>
      <c r="F23" s="997">
        <f t="shared" si="6"/>
        <v>0</v>
      </c>
      <c r="G23" s="1238"/>
      <c r="H23" s="1238"/>
      <c r="I23" s="1237" t="str">
        <f t="shared" si="0"/>
        <v/>
      </c>
      <c r="J23" s="1237"/>
      <c r="K23" s="1239" t="str">
        <f t="shared" si="7"/>
        <v/>
      </c>
      <c r="L23" s="1240"/>
      <c r="M23" s="1238"/>
      <c r="N23" s="1242"/>
      <c r="O23" s="1241"/>
      <c r="P23" s="1238"/>
      <c r="Q23" s="805">
        <f t="shared" si="1"/>
        <v>0</v>
      </c>
      <c r="R23" s="998">
        <f t="shared" si="2"/>
        <v>0</v>
      </c>
      <c r="S23" s="819">
        <f t="shared" si="3"/>
        <v>0</v>
      </c>
      <c r="T23" s="1243"/>
      <c r="U23" s="1238"/>
      <c r="V23" s="805">
        <f t="shared" si="8"/>
        <v>0</v>
      </c>
      <c r="W23" s="910"/>
      <c r="X23" s="819">
        <f t="shared" si="4"/>
        <v>0</v>
      </c>
      <c r="Y23" s="828">
        <f t="shared" si="5"/>
        <v>0</v>
      </c>
    </row>
    <row r="24" spans="2:25" ht="15">
      <c r="B24" s="950"/>
      <c r="C24" s="950"/>
      <c r="D24" s="950"/>
      <c r="E24" s="950"/>
      <c r="F24" s="950"/>
      <c r="G24" s="950"/>
      <c r="H24" s="963"/>
      <c r="I24" s="963"/>
      <c r="J24" s="963"/>
      <c r="K24" s="963"/>
      <c r="L24" s="963"/>
      <c r="M24" s="952"/>
      <c r="N24" s="953"/>
      <c r="O24" s="953"/>
      <c r="P24" s="953"/>
      <c r="Q24" s="953"/>
      <c r="R24" s="953"/>
      <c r="S24" s="148"/>
      <c r="T24" s="148"/>
      <c r="U24" s="148"/>
      <c r="V24" s="148"/>
      <c r="W24" s="148"/>
      <c r="X24" s="148"/>
      <c r="Y24" s="73"/>
    </row>
    <row r="25" spans="2:25" ht="15">
      <c r="B25" s="83" t="s">
        <v>91</v>
      </c>
      <c r="C25" s="83"/>
      <c r="D25" s="83"/>
      <c r="E25" s="83"/>
      <c r="F25" s="83"/>
      <c r="G25" s="83"/>
      <c r="H25" s="85"/>
      <c r="I25" s="85"/>
      <c r="J25" s="85"/>
      <c r="K25" s="85"/>
      <c r="L25" s="85"/>
      <c r="M25" s="85"/>
      <c r="N25" s="85"/>
      <c r="O25" s="85"/>
      <c r="P25" s="85"/>
      <c r="Q25" s="85">
        <f>SUM(Q10:Q23)</f>
        <v>6150.0003315000304</v>
      </c>
      <c r="R25" s="85">
        <f t="shared" ref="R25:X25" si="9">SUM(R10:R23)</f>
        <v>1999.9996999999712</v>
      </c>
      <c r="S25" s="85">
        <f t="shared" si="9"/>
        <v>180849.99996849999</v>
      </c>
      <c r="T25" s="85"/>
      <c r="U25" s="85"/>
      <c r="V25" s="85"/>
      <c r="W25" s="85">
        <f t="shared" si="9"/>
        <v>0</v>
      </c>
      <c r="X25" s="85">
        <f t="shared" si="9"/>
        <v>182849.99966849998</v>
      </c>
      <c r="Y25" s="85">
        <f>SUM(Y10:Y23)</f>
        <v>1999.9996999999712</v>
      </c>
    </row>
    <row r="26" spans="2:25" ht="15">
      <c r="B26" s="958"/>
      <c r="C26" s="958"/>
      <c r="D26" s="958"/>
      <c r="E26" s="958"/>
      <c r="F26" s="958"/>
      <c r="G26" s="958"/>
      <c r="H26" s="960"/>
      <c r="I26" s="960"/>
      <c r="J26" s="960"/>
      <c r="K26" s="960"/>
      <c r="L26" s="960"/>
      <c r="M26" s="960"/>
      <c r="N26" s="961"/>
      <c r="O26" s="961"/>
      <c r="P26" s="961"/>
      <c r="Q26" s="961"/>
      <c r="R26" s="961"/>
      <c r="S26" s="68"/>
      <c r="T26" s="68"/>
      <c r="U26" s="68"/>
      <c r="V26" s="68"/>
      <c r="W26" s="68"/>
      <c r="X26" s="68"/>
      <c r="Y26" s="60"/>
    </row>
    <row r="27" spans="2:25" ht="14.65" customHeight="1"/>
  </sheetData>
  <mergeCells count="108">
    <mergeCell ref="B1:N1"/>
    <mergeCell ref="B2:H2"/>
    <mergeCell ref="B3:H3"/>
    <mergeCell ref="J2:O2"/>
    <mergeCell ref="F8:F9"/>
    <mergeCell ref="C8:C9"/>
    <mergeCell ref="E8:E9"/>
    <mergeCell ref="D8:D9"/>
    <mergeCell ref="B8:B9"/>
    <mergeCell ref="L8:L9"/>
    <mergeCell ref="O7:S7"/>
    <mergeCell ref="G5:S5"/>
    <mergeCell ref="T7:X7"/>
    <mergeCell ref="Y8:Y9"/>
    <mergeCell ref="T8:T9"/>
    <mergeCell ref="N8:N9"/>
    <mergeCell ref="M8:M9"/>
    <mergeCell ref="P8:P9"/>
    <mergeCell ref="O8:O9"/>
    <mergeCell ref="U8:U9"/>
    <mergeCell ref="G8:H9"/>
    <mergeCell ref="J8:J9"/>
    <mergeCell ref="K8:K9"/>
    <mergeCell ref="I8:I9"/>
    <mergeCell ref="I18:J18"/>
    <mergeCell ref="G22:H22"/>
    <mergeCell ref="I23:J23"/>
    <mergeCell ref="I22:J22"/>
    <mergeCell ref="I21:J21"/>
    <mergeCell ref="I20:J20"/>
    <mergeCell ref="I19:J19"/>
    <mergeCell ref="T17:U17"/>
    <mergeCell ref="T18:U18"/>
    <mergeCell ref="K19:L19"/>
    <mergeCell ref="K18:L18"/>
    <mergeCell ref="K17:L17"/>
    <mergeCell ref="G23:H23"/>
    <mergeCell ref="K23:L23"/>
    <mergeCell ref="K22:L22"/>
    <mergeCell ref="K21:L21"/>
    <mergeCell ref="K20:L20"/>
    <mergeCell ref="G21:H21"/>
    <mergeCell ref="O23:P23"/>
    <mergeCell ref="O19:P19"/>
    <mergeCell ref="M23:N23"/>
    <mergeCell ref="T23:U23"/>
    <mergeCell ref="G19:H19"/>
    <mergeCell ref="G20:H20"/>
    <mergeCell ref="K12:L12"/>
    <mergeCell ref="I10:J10"/>
    <mergeCell ref="I13:J13"/>
    <mergeCell ref="I12:J12"/>
    <mergeCell ref="T14:U14"/>
    <mergeCell ref="T15:U15"/>
    <mergeCell ref="T16:U16"/>
    <mergeCell ref="O16:P16"/>
    <mergeCell ref="O17:P17"/>
    <mergeCell ref="I15:J15"/>
    <mergeCell ref="I14:J14"/>
    <mergeCell ref="K16:L16"/>
    <mergeCell ref="I16:J16"/>
    <mergeCell ref="T10:U10"/>
    <mergeCell ref="T11:U11"/>
    <mergeCell ref="O10:P10"/>
    <mergeCell ref="G16:H16"/>
    <mergeCell ref="M16:N16"/>
    <mergeCell ref="G17:H17"/>
    <mergeCell ref="M17:N17"/>
    <mergeCell ref="G18:H18"/>
    <mergeCell ref="M18:N18"/>
    <mergeCell ref="K10:L10"/>
    <mergeCell ref="I17:J17"/>
    <mergeCell ref="G13:H13"/>
    <mergeCell ref="M13:N13"/>
    <mergeCell ref="G14:H14"/>
    <mergeCell ref="K11:L11"/>
    <mergeCell ref="M14:N14"/>
    <mergeCell ref="G15:H15"/>
    <mergeCell ref="G10:H10"/>
    <mergeCell ref="M10:N10"/>
    <mergeCell ref="G12:H12"/>
    <mergeCell ref="M12:N12"/>
    <mergeCell ref="G11:H11"/>
    <mergeCell ref="I11:J11"/>
    <mergeCell ref="M11:N11"/>
    <mergeCell ref="K15:L15"/>
    <mergeCell ref="K14:L14"/>
    <mergeCell ref="K13:L13"/>
    <mergeCell ref="M22:N22"/>
    <mergeCell ref="T19:U19"/>
    <mergeCell ref="T20:U20"/>
    <mergeCell ref="T21:U21"/>
    <mergeCell ref="T22:U22"/>
    <mergeCell ref="O20:P20"/>
    <mergeCell ref="O11:P11"/>
    <mergeCell ref="O12:P12"/>
    <mergeCell ref="O13:P13"/>
    <mergeCell ref="O14:P14"/>
    <mergeCell ref="O15:P15"/>
    <mergeCell ref="M15:N15"/>
    <mergeCell ref="T12:U12"/>
    <mergeCell ref="T13:U13"/>
    <mergeCell ref="O21:P21"/>
    <mergeCell ref="O22:P22"/>
    <mergeCell ref="O18:P18"/>
    <mergeCell ref="M21:N21"/>
    <mergeCell ref="M19:N19"/>
    <mergeCell ref="M20:N20"/>
  </mergeCells>
  <hyperlinks>
    <hyperlink ref="AA1" location="Inhaltsverzeichnis!A1" display="zum Inhaltsverzeichnis" xr:uid="{E9D04A88-4DDE-4B29-840B-DFC54C2EAE7F}"/>
  </hyperlinks>
  <pageMargins left="0.7" right="0.7" top="0.78740157499999996" bottom="0.78740157499999996" header="0.3" footer="0.3"/>
  <pageSetup paperSize="9" scale="48" orientation="landscape" r:id="rId1"/>
  <colBreaks count="1" manualBreakCount="1">
    <brk id="2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0D88-F3D7-4259-B7C6-D08DAE851E9F}">
  <sheetPr>
    <pageSetUpPr fitToPage="1"/>
  </sheetPr>
  <dimension ref="B1:AK32"/>
  <sheetViews>
    <sheetView showGridLines="0" zoomScale="85" zoomScaleNormal="85" workbookViewId="0">
      <selection activeCell="D7" sqref="D7"/>
    </sheetView>
  </sheetViews>
  <sheetFormatPr baseColWidth="10" defaultColWidth="11.42578125" defaultRowHeight="14.65" customHeight="1"/>
  <cols>
    <col min="1" max="1" width="1.7109375" style="912" customWidth="1"/>
    <col min="2" max="2" width="19.5703125" style="912" customWidth="1"/>
    <col min="3" max="3" width="10.85546875" style="912" customWidth="1"/>
    <col min="4" max="4" width="11.42578125" style="912" customWidth="1"/>
    <col min="5" max="5" width="7.85546875" style="912" customWidth="1"/>
    <col min="6" max="6" width="8.85546875" style="912" customWidth="1"/>
    <col min="7" max="7" width="5.5703125" style="912" customWidth="1"/>
    <col min="8" max="8" width="4.5703125" style="912" customWidth="1"/>
    <col min="9" max="9" width="8.7109375" style="912" customWidth="1"/>
    <col min="10" max="12" width="9.85546875" style="912" customWidth="1"/>
    <col min="13" max="13" width="10.42578125" style="912" customWidth="1"/>
    <col min="14" max="14" width="9.85546875" style="912" customWidth="1"/>
    <col min="15" max="15" width="6.5703125" style="912" customWidth="1"/>
    <col min="16" max="16" width="9.85546875" style="912" customWidth="1"/>
    <col min="17" max="17" width="11.85546875" style="912" customWidth="1"/>
    <col min="18" max="18" width="12.28515625" style="912" customWidth="1"/>
    <col min="19" max="19" width="14.42578125" style="912" customWidth="1"/>
    <col min="20" max="20" width="6.5703125" style="912" customWidth="1"/>
    <col min="21" max="21" width="11.28515625" style="912" customWidth="1"/>
    <col min="22" max="22" width="12.28515625" style="912" customWidth="1"/>
    <col min="23" max="23" width="10.140625" style="912" customWidth="1"/>
    <col min="24" max="24" width="11.7109375" style="912" customWidth="1"/>
    <col min="25" max="26" width="12.85546875" style="912" customWidth="1"/>
    <col min="27" max="27" width="11.7109375" style="912" customWidth="1"/>
    <col min="28" max="28" width="12.7109375" style="912" customWidth="1"/>
    <col min="29" max="29" width="14.28515625" style="912" customWidth="1"/>
    <col min="30" max="30" width="11.7109375" style="912" customWidth="1"/>
    <col min="31" max="31" width="14.28515625" style="912" customWidth="1"/>
    <col min="32" max="32" width="11.28515625" style="912" customWidth="1"/>
    <col min="33" max="33" width="13.7109375" style="912" customWidth="1"/>
    <col min="34" max="34" width="1.7109375" style="912" customWidth="1"/>
    <col min="35" max="35" width="21.7109375" style="912" customWidth="1"/>
    <col min="36" max="16384" width="11.42578125" style="912"/>
  </cols>
  <sheetData>
    <row r="1" spans="2:37" ht="35.1" customHeight="1">
      <c r="B1" s="1131" t="s">
        <v>486</v>
      </c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1149"/>
      <c r="N1" s="1149"/>
      <c r="O1" s="1149"/>
      <c r="P1" s="1149"/>
      <c r="Q1" s="1149"/>
      <c r="R1" s="1149"/>
      <c r="S1" s="1149"/>
      <c r="T1" s="981"/>
      <c r="U1" s="1273" t="s">
        <v>269</v>
      </c>
      <c r="V1" s="1149"/>
      <c r="W1" s="981"/>
      <c r="X1" s="981"/>
      <c r="Y1" s="981"/>
      <c r="Z1" s="981"/>
      <c r="AA1" s="981"/>
      <c r="AB1" s="981"/>
      <c r="AC1" s="981"/>
      <c r="AD1" s="981"/>
      <c r="AE1" s="981"/>
      <c r="AF1" s="981"/>
      <c r="AG1" s="981"/>
    </row>
    <row r="2" spans="2:37" ht="15">
      <c r="B2" s="1135" t="s">
        <v>430</v>
      </c>
      <c r="C2" s="1148"/>
      <c r="D2" s="1148"/>
      <c r="E2" s="1148"/>
      <c r="F2" s="1148"/>
      <c r="G2" s="1148"/>
      <c r="H2" s="915"/>
      <c r="I2" s="915"/>
      <c r="J2" s="1155" t="s">
        <v>574</v>
      </c>
      <c r="K2" s="1155"/>
      <c r="L2" s="1155"/>
      <c r="M2" s="1155"/>
      <c r="N2" s="1155"/>
      <c r="O2" s="1092"/>
      <c r="P2" s="1092"/>
      <c r="Q2" s="1092"/>
      <c r="R2" s="915"/>
      <c r="S2" s="915"/>
      <c r="T2" s="915"/>
      <c r="U2" s="915"/>
      <c r="V2" s="915"/>
      <c r="W2" s="915"/>
      <c r="X2" s="915"/>
      <c r="Y2" s="915"/>
      <c r="Z2" s="915"/>
      <c r="AA2" s="915"/>
      <c r="AB2" s="915"/>
      <c r="AC2" s="915"/>
      <c r="AD2" s="915"/>
      <c r="AE2" s="915"/>
      <c r="AF2" s="915"/>
      <c r="AG2" s="915"/>
      <c r="AI2" s="913"/>
    </row>
    <row r="3" spans="2:37" ht="15">
      <c r="B3" s="1175" t="s">
        <v>505</v>
      </c>
      <c r="C3" s="1176"/>
      <c r="D3" s="1176"/>
      <c r="E3" s="1176"/>
      <c r="F3" s="1176"/>
      <c r="G3" s="1176"/>
      <c r="H3" s="1176"/>
      <c r="I3" s="1176"/>
      <c r="J3" s="1176"/>
      <c r="K3" s="1176"/>
      <c r="L3" s="978"/>
      <c r="M3" s="978"/>
      <c r="N3" s="978"/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8"/>
      <c r="AB3" s="978"/>
      <c r="AC3" s="978"/>
      <c r="AD3" s="978"/>
      <c r="AE3" s="978"/>
      <c r="AF3" s="978"/>
      <c r="AG3" s="915"/>
      <c r="AI3" s="913"/>
    </row>
    <row r="4" spans="2:37" ht="15" customHeight="1">
      <c r="B4" s="916"/>
      <c r="C4" s="916"/>
      <c r="D4" s="916"/>
      <c r="E4" s="916"/>
      <c r="F4" s="916"/>
      <c r="P4" s="999"/>
      <c r="S4" s="983" t="s">
        <v>314</v>
      </c>
    </row>
    <row r="5" spans="2:37" ht="15">
      <c r="B5" s="18" t="s">
        <v>75</v>
      </c>
      <c r="C5" s="18"/>
      <c r="D5" s="18"/>
      <c r="E5" s="18"/>
      <c r="F5" s="18"/>
      <c r="G5" s="1157" t="str">
        <f>Mandantendaten!C3</f>
        <v>Max Mustermann</v>
      </c>
      <c r="H5" s="1174"/>
      <c r="I5" s="1174"/>
      <c r="J5" s="1174"/>
      <c r="K5" s="984"/>
      <c r="L5" s="984"/>
      <c r="M5" s="984"/>
      <c r="N5" s="984"/>
      <c r="O5" s="984"/>
      <c r="P5" s="984"/>
      <c r="Q5" s="984"/>
      <c r="S5" s="64">
        <f>Mandantendaten!C5</f>
        <v>44561</v>
      </c>
      <c r="T5" s="984"/>
      <c r="U5" s="984"/>
      <c r="V5" s="984"/>
      <c r="W5" s="984"/>
      <c r="X5" s="984"/>
      <c r="Y5" s="984"/>
      <c r="Z5" s="984"/>
      <c r="AA5" s="984"/>
      <c r="AB5" s="984"/>
      <c r="AC5" s="984"/>
      <c r="AD5" s="984"/>
      <c r="AE5" s="984"/>
      <c r="AF5" s="984"/>
    </row>
    <row r="6" spans="2:37" ht="15">
      <c r="B6" s="18"/>
      <c r="C6" s="18"/>
      <c r="D6" s="18"/>
      <c r="E6" s="18"/>
      <c r="F6" s="18"/>
      <c r="G6" s="886"/>
      <c r="H6" s="984"/>
      <c r="I6" s="984"/>
      <c r="J6" s="984"/>
      <c r="K6" s="984"/>
      <c r="L6" s="984"/>
      <c r="M6" s="984"/>
      <c r="N6" s="984"/>
      <c r="O6" s="984"/>
      <c r="P6" s="984"/>
      <c r="Q6" s="984"/>
      <c r="R6" s="984"/>
      <c r="S6" s="984"/>
      <c r="T6" s="984"/>
      <c r="U6" s="984"/>
      <c r="V6" s="984"/>
      <c r="W6" s="984"/>
      <c r="X6" s="984"/>
      <c r="Y6" s="984"/>
      <c r="Z6" s="984"/>
      <c r="AA6" s="984"/>
      <c r="AB6" s="984"/>
      <c r="AC6" s="984"/>
      <c r="AD6" s="984"/>
      <c r="AE6" s="984"/>
      <c r="AF6" s="984"/>
      <c r="AG6" s="64"/>
    </row>
    <row r="7" spans="2:37" ht="31.7" customHeight="1">
      <c r="B7" s="1263" t="s">
        <v>456</v>
      </c>
      <c r="C7" s="1264"/>
      <c r="D7" s="902" t="s">
        <v>394</v>
      </c>
      <c r="E7" s="903"/>
      <c r="F7" s="796" t="s">
        <v>439</v>
      </c>
      <c r="G7" s="1266" t="str">
        <f>IF(D7="Ja","Die Nettoanschaffungskosten können im Wj. der Anschaffung in voller Höhe als Betriebsausgaben abgezogen werden, sofern diese 800 € nicht übersteigen.","-")</f>
        <v>-</v>
      </c>
      <c r="H7" s="1267"/>
      <c r="I7" s="1267"/>
      <c r="J7" s="1267"/>
      <c r="K7" s="1267"/>
      <c r="L7" s="1267"/>
      <c r="M7" s="1267"/>
      <c r="N7" s="1267"/>
      <c r="O7" s="1267"/>
      <c r="P7" s="1267"/>
      <c r="Q7" s="1267"/>
      <c r="R7" s="1267"/>
      <c r="S7" s="1268"/>
      <c r="T7" s="830"/>
      <c r="U7" s="1265"/>
      <c r="V7" s="1265"/>
      <c r="W7" s="1265"/>
      <c r="X7" s="1265"/>
      <c r="Y7" s="1265"/>
      <c r="Z7" s="1265"/>
      <c r="AA7" s="1265"/>
      <c r="AB7" s="1265"/>
      <c r="AC7" s="1265"/>
      <c r="AD7" s="1265"/>
      <c r="AE7" s="1265"/>
      <c r="AF7" s="1265"/>
      <c r="AG7" s="830"/>
      <c r="AH7" s="830"/>
      <c r="AI7" s="830"/>
      <c r="AJ7" s="912" t="s">
        <v>393</v>
      </c>
      <c r="AK7" s="912" t="s">
        <v>394</v>
      </c>
    </row>
    <row r="8" spans="2:37" ht="46.5" customHeight="1">
      <c r="B8" s="1263" t="s">
        <v>523</v>
      </c>
      <c r="C8" s="1264"/>
      <c r="D8" s="904" t="s">
        <v>393</v>
      </c>
      <c r="E8" s="903"/>
      <c r="F8" s="796" t="s">
        <v>439</v>
      </c>
      <c r="G8" s="1266" t="str">
        <f>IF(D8="Ja",AJ8,"-")</f>
        <v>Für Wirtschaftsgüter, deren Nettoanschaffungskosten 250 €, aber nicht 1.000 € übersteigen, ist ein Sammelposten zu bilden. Übersteigen die Nettoanschaffungskosten 250 € nicht, ist ein Abzug in voller Höhe als Betriebsausgaben möglich. Neben der Poolabschreibung kann keine Abschreibung nach § 7g Abs. 5 EStG in Anspruch genommen werden.</v>
      </c>
      <c r="H8" s="1267"/>
      <c r="I8" s="1267"/>
      <c r="J8" s="1267"/>
      <c r="K8" s="1267"/>
      <c r="L8" s="1267"/>
      <c r="M8" s="1267"/>
      <c r="N8" s="1267"/>
      <c r="O8" s="1267"/>
      <c r="P8" s="1267"/>
      <c r="Q8" s="1267"/>
      <c r="R8" s="1267"/>
      <c r="S8" s="1268"/>
      <c r="T8" s="830"/>
      <c r="U8" s="1265"/>
      <c r="V8" s="1265"/>
      <c r="W8" s="1265"/>
      <c r="X8" s="1265"/>
      <c r="Y8" s="1265"/>
      <c r="Z8" s="1265"/>
      <c r="AA8" s="1265"/>
      <c r="AB8" s="1265"/>
      <c r="AC8" s="1265"/>
      <c r="AD8" s="1265"/>
      <c r="AE8" s="1265"/>
      <c r="AF8" s="1265"/>
      <c r="AG8" s="830"/>
      <c r="AH8" s="830"/>
      <c r="AI8" s="830"/>
      <c r="AJ8" s="912" t="s">
        <v>522</v>
      </c>
      <c r="AK8" s="991"/>
    </row>
    <row r="9" spans="2:37" ht="15">
      <c r="B9" s="868"/>
      <c r="C9" s="868"/>
      <c r="D9" s="869"/>
      <c r="E9" s="869"/>
      <c r="F9" s="869"/>
      <c r="G9" s="1271" t="str">
        <f>IF(AND(D7="Ja",D8="Ja"),"Fehler: Die gleichzeitige Eingabe von 'Ja' bei § 6 Abs. 2 EStG und § 6 Abs. 2a EStG ist materiell-rechtlich unzulässig!","")</f>
        <v/>
      </c>
      <c r="H9" s="1272"/>
      <c r="I9" s="1272"/>
      <c r="J9" s="1272"/>
      <c r="K9" s="1272"/>
      <c r="L9" s="1272"/>
      <c r="M9" s="1272"/>
      <c r="N9" s="1272"/>
      <c r="O9" s="1272"/>
      <c r="P9" s="1272"/>
      <c r="Q9" s="1272"/>
      <c r="R9" s="1272"/>
      <c r="S9" s="1272"/>
      <c r="T9" s="830"/>
      <c r="U9" s="896"/>
      <c r="V9" s="896"/>
      <c r="W9" s="896"/>
      <c r="X9" s="896"/>
      <c r="Y9" s="896"/>
      <c r="Z9" s="896"/>
      <c r="AA9" s="896"/>
      <c r="AB9" s="896"/>
      <c r="AC9" s="896"/>
      <c r="AD9" s="896"/>
      <c r="AE9" s="896"/>
      <c r="AF9" s="896"/>
      <c r="AG9" s="830"/>
      <c r="AH9" s="830"/>
      <c r="AI9" s="830"/>
      <c r="AK9" s="991"/>
    </row>
    <row r="10" spans="2:37" ht="15">
      <c r="B10" s="829"/>
      <c r="C10" s="829"/>
      <c r="D10" s="188"/>
      <c r="E10" s="188"/>
      <c r="F10" s="188"/>
      <c r="G10" s="814"/>
      <c r="H10" s="814"/>
      <c r="I10" s="814"/>
      <c r="J10" s="814"/>
      <c r="K10" s="814"/>
      <c r="L10" s="814"/>
      <c r="M10" s="814"/>
      <c r="N10" s="814"/>
      <c r="O10" s="814"/>
      <c r="P10" s="814"/>
      <c r="Q10" s="814"/>
      <c r="R10" s="814"/>
      <c r="S10" s="814"/>
      <c r="T10" s="814"/>
      <c r="U10" s="814"/>
      <c r="V10" s="814"/>
      <c r="W10" s="814"/>
      <c r="X10" s="814"/>
      <c r="Y10" s="814"/>
      <c r="Z10" s="814"/>
      <c r="AA10" s="814"/>
      <c r="AB10" s="814"/>
      <c r="AC10" s="814"/>
      <c r="AD10" s="814"/>
      <c r="AE10" s="814"/>
      <c r="AF10" s="814"/>
      <c r="AG10" s="814"/>
      <c r="AH10" s="814"/>
      <c r="AI10" s="814"/>
      <c r="AJ10" s="814"/>
      <c r="AK10" s="991"/>
    </row>
    <row r="11" spans="2:37" ht="33" customHeight="1">
      <c r="B11" s="1263" t="s">
        <v>484</v>
      </c>
      <c r="C11" s="1264"/>
      <c r="D11" s="904" t="s">
        <v>394</v>
      </c>
      <c r="E11" s="903"/>
      <c r="F11" s="796" t="s">
        <v>439</v>
      </c>
      <c r="G11" s="1266" t="str">
        <f>IF(D11="Ja","Bei beweglichen Wirtschaftsgütern des Anlagevermögens mit Anschaffung nach dem 31.12.2019 und vor dem 01.01.2022 wird die degressive AfA (2,5 fache des lineare AfA-Satzes, maximal 25 %) in Anspruch genommen.","")</f>
        <v/>
      </c>
      <c r="H11" s="1267"/>
      <c r="I11" s="1267"/>
      <c r="J11" s="1267"/>
      <c r="K11" s="1267"/>
      <c r="L11" s="1267"/>
      <c r="M11" s="1267"/>
      <c r="N11" s="1267"/>
      <c r="O11" s="1267"/>
      <c r="P11" s="1267"/>
      <c r="Q11" s="1267"/>
      <c r="R11" s="1267"/>
      <c r="S11" s="1268"/>
      <c r="T11" s="830"/>
      <c r="U11" s="830"/>
      <c r="V11" s="830"/>
      <c r="W11" s="830"/>
      <c r="X11" s="830"/>
      <c r="Y11" s="830"/>
      <c r="Z11" s="830"/>
      <c r="AA11" s="830"/>
      <c r="AB11" s="830"/>
      <c r="AC11" s="830"/>
      <c r="AD11" s="830"/>
      <c r="AE11" s="830"/>
      <c r="AF11" s="830"/>
      <c r="AG11" s="831"/>
      <c r="AH11" s="831"/>
      <c r="AI11" s="831"/>
      <c r="AJ11" s="831"/>
      <c r="AK11" s="991"/>
    </row>
    <row r="12" spans="2:37" ht="13.7" customHeight="1">
      <c r="B12" s="18"/>
      <c r="C12" s="18"/>
      <c r="D12" s="18"/>
      <c r="E12" s="18"/>
      <c r="F12" s="18"/>
      <c r="G12" s="886"/>
      <c r="H12" s="984"/>
      <c r="I12" s="984"/>
      <c r="J12" s="984"/>
      <c r="K12" s="984"/>
      <c r="L12" s="984"/>
      <c r="M12" s="984"/>
      <c r="N12" s="984"/>
      <c r="O12" s="984"/>
      <c r="P12" s="984"/>
      <c r="Q12" s="984"/>
      <c r="R12" s="984"/>
      <c r="S12" s="984"/>
      <c r="T12" s="984"/>
      <c r="U12" s="984"/>
      <c r="V12" s="984"/>
      <c r="W12" s="984"/>
      <c r="X12" s="984"/>
      <c r="Y12" s="984"/>
      <c r="Z12" s="984"/>
      <c r="AA12" s="984"/>
      <c r="AB12" s="984"/>
      <c r="AC12" s="984"/>
      <c r="AD12" s="984"/>
      <c r="AE12" s="984"/>
      <c r="AF12" s="984"/>
      <c r="AG12" s="64"/>
    </row>
    <row r="13" spans="2:37" ht="15">
      <c r="B13" s="822"/>
      <c r="C13" s="822"/>
      <c r="D13" s="822"/>
      <c r="E13" s="988"/>
      <c r="F13" s="822"/>
      <c r="G13" s="822"/>
      <c r="H13" s="823"/>
      <c r="I13" s="823"/>
      <c r="J13" s="823"/>
      <c r="K13" s="823"/>
      <c r="L13" s="823"/>
      <c r="M13" s="823"/>
      <c r="N13" s="823"/>
      <c r="O13" s="1205" t="s">
        <v>390</v>
      </c>
      <c r="P13" s="1244"/>
      <c r="Q13" s="1244"/>
      <c r="R13" s="1244"/>
      <c r="S13" s="1206"/>
      <c r="T13" s="1205" t="s">
        <v>391</v>
      </c>
      <c r="U13" s="1244"/>
      <c r="V13" s="1244"/>
      <c r="W13" s="1244"/>
      <c r="X13" s="1244"/>
      <c r="Y13" s="1244"/>
      <c r="Z13" s="1244"/>
      <c r="AA13" s="1244"/>
      <c r="AB13" s="1244"/>
      <c r="AC13" s="1244"/>
      <c r="AD13" s="1244"/>
      <c r="AE13" s="1244"/>
      <c r="AF13" s="1206"/>
      <c r="AG13" s="825"/>
    </row>
    <row r="14" spans="2:37" ht="15">
      <c r="B14" s="1261" t="s">
        <v>113</v>
      </c>
      <c r="C14" s="1259" t="s">
        <v>450</v>
      </c>
      <c r="D14" s="1259" t="s">
        <v>467</v>
      </c>
      <c r="E14" s="1259" t="s">
        <v>451</v>
      </c>
      <c r="F14" s="1257" t="s">
        <v>440</v>
      </c>
      <c r="G14" s="1259" t="s">
        <v>446</v>
      </c>
      <c r="H14" s="1259"/>
      <c r="I14" s="1255" t="s">
        <v>442</v>
      </c>
      <c r="J14" s="1254">
        <f>P14</f>
        <v>44197</v>
      </c>
      <c r="K14" s="1255" t="s">
        <v>442</v>
      </c>
      <c r="L14" s="1254">
        <f>IF(D18&gt;J14,D18,"")</f>
        <v>44228</v>
      </c>
      <c r="M14" s="1249" t="s">
        <v>452</v>
      </c>
      <c r="N14" s="1247">
        <f>S5</f>
        <v>44561</v>
      </c>
      <c r="O14" s="1246" t="s">
        <v>132</v>
      </c>
      <c r="P14" s="1251">
        <f>IF(YEAR($S$5)=2020,$S$5-365,IF(YEAR($S$5)=2024,$S$5-365,IF(YEAR($S$5)=2025,$S$5-365,$S$5-364)))</f>
        <v>44197</v>
      </c>
      <c r="Q14" s="991"/>
      <c r="R14" s="991"/>
      <c r="S14" s="992"/>
      <c r="T14" s="1246" t="s">
        <v>132</v>
      </c>
      <c r="U14" s="1251">
        <f>IF(YEAR($S$5)=2020,$S$5-365,IF(YEAR($S$5)=2024,$S$5-365,IF(YEAR($S$5)=2025,$S$5-365,$S$5-364)))</f>
        <v>44197</v>
      </c>
      <c r="V14" s="1269" t="s">
        <v>445</v>
      </c>
      <c r="W14" s="1269" t="s">
        <v>446</v>
      </c>
      <c r="X14" s="1269" t="s">
        <v>449</v>
      </c>
      <c r="Y14" s="1262" t="s">
        <v>447</v>
      </c>
      <c r="Z14" s="1262" t="s">
        <v>458</v>
      </c>
      <c r="AA14" s="1262" t="s">
        <v>457</v>
      </c>
      <c r="AB14" s="1262" t="s">
        <v>493</v>
      </c>
      <c r="AC14" s="1262" t="s">
        <v>492</v>
      </c>
      <c r="AD14" s="1000"/>
      <c r="AE14" s="1000"/>
      <c r="AF14" s="1001"/>
      <c r="AG14" s="1245" t="s">
        <v>400</v>
      </c>
    </row>
    <row r="15" spans="2:37" ht="29.1" customHeight="1">
      <c r="B15" s="1246"/>
      <c r="C15" s="1260"/>
      <c r="D15" s="1260"/>
      <c r="E15" s="1260"/>
      <c r="F15" s="1258"/>
      <c r="G15" s="1260"/>
      <c r="H15" s="1260"/>
      <c r="I15" s="1256"/>
      <c r="J15" s="1270"/>
      <c r="K15" s="1256"/>
      <c r="L15" s="1251"/>
      <c r="M15" s="1250"/>
      <c r="N15" s="1248"/>
      <c r="O15" s="1246"/>
      <c r="P15" s="1251"/>
      <c r="Q15" s="866" t="s">
        <v>443</v>
      </c>
      <c r="R15" s="866" t="s">
        <v>444</v>
      </c>
      <c r="S15" s="867">
        <f>S5</f>
        <v>44561</v>
      </c>
      <c r="T15" s="1246"/>
      <c r="U15" s="1251"/>
      <c r="V15" s="1269"/>
      <c r="W15" s="1269"/>
      <c r="X15" s="1269"/>
      <c r="Y15" s="1262"/>
      <c r="Z15" s="1262"/>
      <c r="AA15" s="1262"/>
      <c r="AB15" s="1262"/>
      <c r="AC15" s="1262"/>
      <c r="AD15" s="866" t="s">
        <v>443</v>
      </c>
      <c r="AE15" s="866" t="s">
        <v>444</v>
      </c>
      <c r="AF15" s="867">
        <f>S5</f>
        <v>44561</v>
      </c>
      <c r="AG15" s="1245"/>
    </row>
    <row r="16" spans="2:37" ht="15">
      <c r="B16" s="466" t="s">
        <v>490</v>
      </c>
      <c r="C16" s="891">
        <v>100000</v>
      </c>
      <c r="D16" s="36">
        <v>44228</v>
      </c>
      <c r="E16" s="803">
        <v>4</v>
      </c>
      <c r="F16" s="993">
        <f>E16*12</f>
        <v>48</v>
      </c>
      <c r="G16" s="1232">
        <v>50000</v>
      </c>
      <c r="H16" s="1232"/>
      <c r="I16" s="1228" t="str">
        <f t="shared" ref="I16:I29" si="0">IF(D16&gt;$J$14,"",IF(F16-DATEDIF(D16,$P$14,"M")&gt;0,F16-DATEDIF(D16,$P$14,"M"),""))</f>
        <v/>
      </c>
      <c r="J16" s="1228"/>
      <c r="K16" s="1228">
        <f>IF(D16&gt;$J$14,F16,"")</f>
        <v>48</v>
      </c>
      <c r="L16" s="1228"/>
      <c r="M16" s="1232">
        <v>80000</v>
      </c>
      <c r="N16" s="1233"/>
      <c r="O16" s="1236">
        <v>85000</v>
      </c>
      <c r="P16" s="1235"/>
      <c r="Q16" s="820">
        <f t="shared" ref="Q16:Q29" si="1">IF(D16="",0,IF(O16=0,G16/F16*(12-DATEDIF($P$14,D16,"M")),IF(AND(I16&gt;11,(O16-(G16/F16*12))&gt;0),G16/F16*12,O16)))</f>
        <v>12500</v>
      </c>
      <c r="R16" s="994">
        <f t="shared" ref="R16:R29" si="2">IF(AND(M16&gt;0,$P$14&gt;D16),O16-Q16-M16,IF(AND($P$14&lt;D16,M16&gt;0),C16-Q16-M16,0))</f>
        <v>7500</v>
      </c>
      <c r="S16" s="821">
        <f t="shared" ref="S16:S29" si="3">IF($P$14&gt;D16,O16-Q16-R16,C16-Q16-R16)</f>
        <v>80000</v>
      </c>
      <c r="T16" s="1234">
        <v>85000</v>
      </c>
      <c r="U16" s="1235"/>
      <c r="V16" s="894"/>
      <c r="W16" s="1002">
        <f>G16-V16</f>
        <v>50000</v>
      </c>
      <c r="X16" s="894"/>
      <c r="Y16" s="894"/>
      <c r="Z16" s="894"/>
      <c r="AA16" s="894"/>
      <c r="AB16" s="905"/>
      <c r="AC16" s="894"/>
      <c r="AD16" s="820">
        <f t="shared" ref="AD16:AD17" si="4">IF(D16="",0,IF(AK16&gt;0,0,IF(T16=0,W16/F16*(12-DATEDIF($P$14,D16,"M")),IF(AND(I16&gt;11,(T16-(W16/F16*12))&gt;0),W16/F16*12,T16))))</f>
        <v>12500</v>
      </c>
      <c r="AE16" s="908">
        <v>0</v>
      </c>
      <c r="AF16" s="821">
        <f t="shared" ref="AF16:AF29" si="5">IF(AD16=0,0,IF($U$14&gt;D16,T16-AD16-AE16-V16-X16,C16-AD16-AE16-V16-X16))</f>
        <v>87500</v>
      </c>
      <c r="AG16" s="826">
        <f t="shared" ref="AG16:AG29" si="6">AF16-S16</f>
        <v>7500</v>
      </c>
      <c r="AJ16" s="1003">
        <f>SUM(Y16:AA16)+AC16</f>
        <v>0</v>
      </c>
      <c r="AK16" s="912">
        <f>IF(AJ16&gt;0,1,0)</f>
        <v>0</v>
      </c>
    </row>
    <row r="17" spans="2:37" ht="15">
      <c r="B17" s="467" t="s">
        <v>491</v>
      </c>
      <c r="C17" s="889">
        <v>50000</v>
      </c>
      <c r="D17" s="42">
        <v>42370</v>
      </c>
      <c r="E17" s="800">
        <v>8</v>
      </c>
      <c r="F17" s="995">
        <f t="shared" ref="F17:F29" si="7">E17*12</f>
        <v>96</v>
      </c>
      <c r="G17" s="1224">
        <v>50000</v>
      </c>
      <c r="H17" s="1224"/>
      <c r="I17" s="1229">
        <f t="shared" si="0"/>
        <v>36</v>
      </c>
      <c r="J17" s="1229"/>
      <c r="K17" s="1230" t="str">
        <f t="shared" ref="K17:K29" si="8">IF(D17&gt;$J$14,F17,"")</f>
        <v/>
      </c>
      <c r="L17" s="1231"/>
      <c r="M17" s="1224"/>
      <c r="N17" s="1225"/>
      <c r="O17" s="1227">
        <v>44000</v>
      </c>
      <c r="P17" s="1224"/>
      <c r="Q17" s="801">
        <f t="shared" si="1"/>
        <v>6250</v>
      </c>
      <c r="R17" s="996">
        <f t="shared" si="2"/>
        <v>0</v>
      </c>
      <c r="S17" s="818">
        <f t="shared" si="3"/>
        <v>37750</v>
      </c>
      <c r="T17" s="1226">
        <v>44000</v>
      </c>
      <c r="U17" s="1224"/>
      <c r="V17" s="892">
        <v>5000</v>
      </c>
      <c r="W17" s="1002">
        <f t="shared" ref="W17:W29" si="9">G17-V17</f>
        <v>45000</v>
      </c>
      <c r="X17" s="892">
        <v>200</v>
      </c>
      <c r="Y17" s="892"/>
      <c r="Z17" s="892"/>
      <c r="AA17" s="892"/>
      <c r="AB17" s="906"/>
      <c r="AC17" s="892"/>
      <c r="AD17" s="820">
        <f t="shared" si="4"/>
        <v>5625</v>
      </c>
      <c r="AE17" s="909">
        <v>0</v>
      </c>
      <c r="AF17" s="818">
        <f t="shared" si="5"/>
        <v>33175</v>
      </c>
      <c r="AG17" s="827">
        <f t="shared" si="6"/>
        <v>-4575</v>
      </c>
      <c r="AJ17" s="1003">
        <f t="shared" ref="AJ17:AJ29" si="10">SUM(Y17:AA17)+AC17</f>
        <v>0</v>
      </c>
      <c r="AK17" s="912">
        <f t="shared" ref="AK17:AK29" si="11">IF(AJ17&gt;0,1,0)</f>
        <v>0</v>
      </c>
    </row>
    <row r="18" spans="2:37" ht="15">
      <c r="B18" s="467" t="s">
        <v>437</v>
      </c>
      <c r="C18" s="889">
        <v>25000</v>
      </c>
      <c r="D18" s="42">
        <v>44228</v>
      </c>
      <c r="E18" s="800">
        <v>20</v>
      </c>
      <c r="F18" s="995">
        <f t="shared" si="7"/>
        <v>240</v>
      </c>
      <c r="G18" s="1224">
        <v>25000</v>
      </c>
      <c r="H18" s="1224"/>
      <c r="I18" s="1229" t="str">
        <f t="shared" si="0"/>
        <v/>
      </c>
      <c r="J18" s="1229"/>
      <c r="K18" s="1230">
        <f t="shared" si="8"/>
        <v>240</v>
      </c>
      <c r="L18" s="1231"/>
      <c r="M18" s="1224"/>
      <c r="N18" s="1225"/>
      <c r="O18" s="1227">
        <v>3000</v>
      </c>
      <c r="P18" s="1224"/>
      <c r="Q18" s="801">
        <f t="shared" si="1"/>
        <v>1250</v>
      </c>
      <c r="R18" s="996">
        <f t="shared" si="2"/>
        <v>0</v>
      </c>
      <c r="S18" s="818">
        <f t="shared" si="3"/>
        <v>23750</v>
      </c>
      <c r="T18" s="1226"/>
      <c r="U18" s="1224"/>
      <c r="V18" s="892"/>
      <c r="W18" s="1002">
        <f t="shared" si="9"/>
        <v>25000</v>
      </c>
      <c r="X18" s="892"/>
      <c r="Y18" s="892"/>
      <c r="Z18" s="892"/>
      <c r="AA18" s="892"/>
      <c r="AB18" s="906">
        <v>0.125</v>
      </c>
      <c r="AC18" s="892">
        <v>1600</v>
      </c>
      <c r="AD18" s="820">
        <f>IF(D18="",0,IF(AK18&gt;0,0,IF(T18=0,W18/F18*(12-DATEDIF($P$14,D18,"M")),IF(AND(I18&gt;11,(T18-(W18/F18*12))&gt;0),W18/F18*12,T18))))</f>
        <v>0</v>
      </c>
      <c r="AE18" s="909"/>
      <c r="AF18" s="818">
        <f t="shared" si="5"/>
        <v>0</v>
      </c>
      <c r="AG18" s="827">
        <f t="shared" si="6"/>
        <v>-23750</v>
      </c>
      <c r="AJ18" s="1003">
        <f t="shared" si="10"/>
        <v>1600</v>
      </c>
      <c r="AK18" s="912">
        <f t="shared" si="11"/>
        <v>1</v>
      </c>
    </row>
    <row r="19" spans="2:37" ht="15">
      <c r="B19" s="467" t="s">
        <v>438</v>
      </c>
      <c r="C19" s="889">
        <v>500</v>
      </c>
      <c r="D19" s="42">
        <v>44256</v>
      </c>
      <c r="E19" s="800">
        <v>3</v>
      </c>
      <c r="F19" s="995">
        <f t="shared" si="7"/>
        <v>36</v>
      </c>
      <c r="G19" s="1224">
        <v>500</v>
      </c>
      <c r="H19" s="1224"/>
      <c r="I19" s="1229" t="str">
        <f t="shared" si="0"/>
        <v/>
      </c>
      <c r="J19" s="1229"/>
      <c r="K19" s="1230">
        <f t="shared" si="8"/>
        <v>36</v>
      </c>
      <c r="L19" s="1231"/>
      <c r="M19" s="1224"/>
      <c r="N19" s="1225"/>
      <c r="O19" s="1227"/>
      <c r="P19" s="1224"/>
      <c r="Q19" s="801">
        <f t="shared" si="1"/>
        <v>138.88888888888889</v>
      </c>
      <c r="R19" s="996">
        <f t="shared" si="2"/>
        <v>0</v>
      </c>
      <c r="S19" s="818">
        <f t="shared" si="3"/>
        <v>361.11111111111109</v>
      </c>
      <c r="T19" s="1226"/>
      <c r="U19" s="1224"/>
      <c r="V19" s="892"/>
      <c r="W19" s="1002">
        <f t="shared" si="9"/>
        <v>500</v>
      </c>
      <c r="X19" s="892"/>
      <c r="Y19" s="892"/>
      <c r="Z19" s="892"/>
      <c r="AA19" s="892">
        <v>500</v>
      </c>
      <c r="AB19" s="906"/>
      <c r="AC19" s="892"/>
      <c r="AD19" s="820">
        <f t="shared" ref="AD19:AD29" si="12">IF(D19="",0,IF(AK19&gt;0,0,IF(T19=0,W19/F19*(12-DATEDIF($P$14,D19,"M")),IF(AND(I19&gt;11,(T19-(W19/F19*12))&gt;0),W19/F19*12,T19))))</f>
        <v>0</v>
      </c>
      <c r="AE19" s="909"/>
      <c r="AF19" s="818">
        <f>IF(AD19=0,0,IF($U$14&gt;D19,T19-AD19-AE19-V19-X19,C19-AD19-AE19-V19-X19))</f>
        <v>0</v>
      </c>
      <c r="AG19" s="827">
        <f t="shared" si="6"/>
        <v>-361.11111111111109</v>
      </c>
      <c r="AJ19" s="1003">
        <f t="shared" si="10"/>
        <v>500</v>
      </c>
      <c r="AK19" s="912">
        <f t="shared" si="11"/>
        <v>1</v>
      </c>
    </row>
    <row r="20" spans="2:37" ht="15">
      <c r="B20" s="467" t="s">
        <v>448</v>
      </c>
      <c r="C20" s="889">
        <v>150</v>
      </c>
      <c r="D20" s="42">
        <v>44287</v>
      </c>
      <c r="E20" s="800">
        <v>3</v>
      </c>
      <c r="F20" s="995">
        <f t="shared" si="7"/>
        <v>36</v>
      </c>
      <c r="G20" s="1224">
        <v>150</v>
      </c>
      <c r="H20" s="1224"/>
      <c r="I20" s="1229" t="str">
        <f t="shared" si="0"/>
        <v/>
      </c>
      <c r="J20" s="1229"/>
      <c r="K20" s="1230">
        <f t="shared" si="8"/>
        <v>36</v>
      </c>
      <c r="L20" s="1231"/>
      <c r="M20" s="1224"/>
      <c r="N20" s="1225"/>
      <c r="O20" s="1227"/>
      <c r="P20" s="1224"/>
      <c r="Q20" s="801">
        <f t="shared" si="1"/>
        <v>37.5</v>
      </c>
      <c r="R20" s="996">
        <f t="shared" si="2"/>
        <v>0</v>
      </c>
      <c r="S20" s="818">
        <f t="shared" si="3"/>
        <v>112.5</v>
      </c>
      <c r="T20" s="1226"/>
      <c r="U20" s="1224"/>
      <c r="V20" s="892"/>
      <c r="W20" s="1002">
        <f t="shared" si="9"/>
        <v>150</v>
      </c>
      <c r="X20" s="892"/>
      <c r="Y20" s="892"/>
      <c r="Z20" s="892"/>
      <c r="AA20" s="892">
        <v>150</v>
      </c>
      <c r="AB20" s="906"/>
      <c r="AC20" s="892"/>
      <c r="AD20" s="820">
        <f t="shared" si="12"/>
        <v>0</v>
      </c>
      <c r="AE20" s="909"/>
      <c r="AF20" s="818">
        <f t="shared" si="5"/>
        <v>0</v>
      </c>
      <c r="AG20" s="827">
        <f t="shared" si="6"/>
        <v>-112.5</v>
      </c>
      <c r="AJ20" s="1003">
        <f t="shared" si="10"/>
        <v>150</v>
      </c>
      <c r="AK20" s="912">
        <f t="shared" si="11"/>
        <v>1</v>
      </c>
    </row>
    <row r="21" spans="2:37" ht="15">
      <c r="B21" s="467"/>
      <c r="C21" s="889"/>
      <c r="D21" s="816"/>
      <c r="E21" s="802"/>
      <c r="F21" s="995">
        <f t="shared" si="7"/>
        <v>0</v>
      </c>
      <c r="G21" s="1224"/>
      <c r="H21" s="1224"/>
      <c r="I21" s="1229" t="str">
        <f t="shared" si="0"/>
        <v/>
      </c>
      <c r="J21" s="1229"/>
      <c r="K21" s="1230" t="str">
        <f t="shared" si="8"/>
        <v/>
      </c>
      <c r="L21" s="1231"/>
      <c r="M21" s="1224"/>
      <c r="N21" s="1225"/>
      <c r="O21" s="1227"/>
      <c r="P21" s="1224"/>
      <c r="Q21" s="801">
        <f t="shared" si="1"/>
        <v>0</v>
      </c>
      <c r="R21" s="996">
        <f t="shared" si="2"/>
        <v>0</v>
      </c>
      <c r="S21" s="818">
        <f t="shared" si="3"/>
        <v>0</v>
      </c>
      <c r="T21" s="1226"/>
      <c r="U21" s="1224"/>
      <c r="V21" s="892"/>
      <c r="W21" s="1002">
        <f t="shared" si="9"/>
        <v>0</v>
      </c>
      <c r="X21" s="892"/>
      <c r="Y21" s="892"/>
      <c r="Z21" s="892"/>
      <c r="AA21" s="892"/>
      <c r="AB21" s="906"/>
      <c r="AC21" s="892"/>
      <c r="AD21" s="820">
        <f t="shared" si="12"/>
        <v>0</v>
      </c>
      <c r="AE21" s="909"/>
      <c r="AF21" s="818">
        <f t="shared" si="5"/>
        <v>0</v>
      </c>
      <c r="AG21" s="827">
        <f t="shared" si="6"/>
        <v>0</v>
      </c>
      <c r="AJ21" s="1003">
        <f t="shared" si="10"/>
        <v>0</v>
      </c>
      <c r="AK21" s="912">
        <f t="shared" si="11"/>
        <v>0</v>
      </c>
    </row>
    <row r="22" spans="2:37" ht="15">
      <c r="B22" s="467"/>
      <c r="C22" s="889"/>
      <c r="D22" s="816"/>
      <c r="E22" s="802"/>
      <c r="F22" s="995">
        <f t="shared" si="7"/>
        <v>0</v>
      </c>
      <c r="G22" s="1224"/>
      <c r="H22" s="1224"/>
      <c r="I22" s="1229" t="str">
        <f t="shared" si="0"/>
        <v/>
      </c>
      <c r="J22" s="1229"/>
      <c r="K22" s="1230" t="str">
        <f t="shared" si="8"/>
        <v/>
      </c>
      <c r="L22" s="1231"/>
      <c r="M22" s="1224"/>
      <c r="N22" s="1225"/>
      <c r="O22" s="1227"/>
      <c r="P22" s="1224"/>
      <c r="Q22" s="801">
        <f t="shared" si="1"/>
        <v>0</v>
      </c>
      <c r="R22" s="996">
        <f t="shared" si="2"/>
        <v>0</v>
      </c>
      <c r="S22" s="818">
        <f t="shared" si="3"/>
        <v>0</v>
      </c>
      <c r="T22" s="1226"/>
      <c r="U22" s="1224"/>
      <c r="V22" s="892"/>
      <c r="W22" s="1002">
        <f t="shared" si="9"/>
        <v>0</v>
      </c>
      <c r="X22" s="892"/>
      <c r="Y22" s="892"/>
      <c r="Z22" s="892"/>
      <c r="AA22" s="892"/>
      <c r="AB22" s="906"/>
      <c r="AC22" s="892"/>
      <c r="AD22" s="820">
        <f t="shared" si="12"/>
        <v>0</v>
      </c>
      <c r="AE22" s="909"/>
      <c r="AF22" s="818">
        <f t="shared" si="5"/>
        <v>0</v>
      </c>
      <c r="AG22" s="827">
        <f t="shared" si="6"/>
        <v>0</v>
      </c>
      <c r="AJ22" s="1003">
        <f t="shared" si="10"/>
        <v>0</v>
      </c>
      <c r="AK22" s="912">
        <f t="shared" si="11"/>
        <v>0</v>
      </c>
    </row>
    <row r="23" spans="2:37" ht="15">
      <c r="B23" s="467"/>
      <c r="C23" s="889"/>
      <c r="D23" s="816"/>
      <c r="E23" s="802"/>
      <c r="F23" s="995">
        <f t="shared" si="7"/>
        <v>0</v>
      </c>
      <c r="G23" s="1224"/>
      <c r="H23" s="1224"/>
      <c r="I23" s="1229" t="str">
        <f t="shared" si="0"/>
        <v/>
      </c>
      <c r="J23" s="1229"/>
      <c r="K23" s="1230" t="str">
        <f t="shared" si="8"/>
        <v/>
      </c>
      <c r="L23" s="1231"/>
      <c r="M23" s="1224"/>
      <c r="N23" s="1225"/>
      <c r="O23" s="1227"/>
      <c r="P23" s="1224"/>
      <c r="Q23" s="801">
        <f t="shared" si="1"/>
        <v>0</v>
      </c>
      <c r="R23" s="996">
        <f t="shared" si="2"/>
        <v>0</v>
      </c>
      <c r="S23" s="818">
        <f t="shared" si="3"/>
        <v>0</v>
      </c>
      <c r="T23" s="1226"/>
      <c r="U23" s="1224"/>
      <c r="V23" s="892"/>
      <c r="W23" s="1002">
        <f t="shared" si="9"/>
        <v>0</v>
      </c>
      <c r="X23" s="892"/>
      <c r="Y23" s="892"/>
      <c r="Z23" s="892"/>
      <c r="AA23" s="892"/>
      <c r="AB23" s="906"/>
      <c r="AC23" s="892"/>
      <c r="AD23" s="820">
        <f t="shared" si="12"/>
        <v>0</v>
      </c>
      <c r="AE23" s="909"/>
      <c r="AF23" s="818">
        <f t="shared" si="5"/>
        <v>0</v>
      </c>
      <c r="AG23" s="827">
        <f t="shared" si="6"/>
        <v>0</v>
      </c>
      <c r="AJ23" s="1003">
        <f t="shared" si="10"/>
        <v>0</v>
      </c>
      <c r="AK23" s="912">
        <f t="shared" si="11"/>
        <v>0</v>
      </c>
    </row>
    <row r="24" spans="2:37" ht="15">
      <c r="B24" s="467"/>
      <c r="C24" s="889"/>
      <c r="D24" s="816"/>
      <c r="E24" s="802"/>
      <c r="F24" s="995">
        <f t="shared" si="7"/>
        <v>0</v>
      </c>
      <c r="G24" s="1224"/>
      <c r="H24" s="1224"/>
      <c r="I24" s="1229" t="str">
        <f t="shared" si="0"/>
        <v/>
      </c>
      <c r="J24" s="1229"/>
      <c r="K24" s="1230" t="str">
        <f t="shared" si="8"/>
        <v/>
      </c>
      <c r="L24" s="1231"/>
      <c r="M24" s="1224"/>
      <c r="N24" s="1225"/>
      <c r="O24" s="1227"/>
      <c r="P24" s="1224"/>
      <c r="Q24" s="801">
        <f t="shared" si="1"/>
        <v>0</v>
      </c>
      <c r="R24" s="996">
        <f t="shared" si="2"/>
        <v>0</v>
      </c>
      <c r="S24" s="818">
        <f t="shared" si="3"/>
        <v>0</v>
      </c>
      <c r="T24" s="1226"/>
      <c r="U24" s="1224"/>
      <c r="V24" s="892"/>
      <c r="W24" s="1002">
        <f t="shared" si="9"/>
        <v>0</v>
      </c>
      <c r="X24" s="892"/>
      <c r="Y24" s="892"/>
      <c r="Z24" s="892"/>
      <c r="AA24" s="892"/>
      <c r="AB24" s="906"/>
      <c r="AC24" s="892"/>
      <c r="AD24" s="820">
        <f t="shared" si="12"/>
        <v>0</v>
      </c>
      <c r="AE24" s="909"/>
      <c r="AF24" s="818">
        <f t="shared" si="5"/>
        <v>0</v>
      </c>
      <c r="AG24" s="827">
        <f t="shared" si="6"/>
        <v>0</v>
      </c>
      <c r="AJ24" s="1003">
        <f t="shared" si="10"/>
        <v>0</v>
      </c>
      <c r="AK24" s="912">
        <f t="shared" si="11"/>
        <v>0</v>
      </c>
    </row>
    <row r="25" spans="2:37" ht="15">
      <c r="B25" s="467"/>
      <c r="C25" s="889"/>
      <c r="D25" s="816"/>
      <c r="E25" s="802"/>
      <c r="F25" s="995">
        <f t="shared" si="7"/>
        <v>0</v>
      </c>
      <c r="G25" s="1224"/>
      <c r="H25" s="1224"/>
      <c r="I25" s="1229" t="str">
        <f t="shared" si="0"/>
        <v/>
      </c>
      <c r="J25" s="1229"/>
      <c r="K25" s="1230" t="str">
        <f t="shared" si="8"/>
        <v/>
      </c>
      <c r="L25" s="1231"/>
      <c r="M25" s="1224"/>
      <c r="N25" s="1225"/>
      <c r="O25" s="1227"/>
      <c r="P25" s="1224"/>
      <c r="Q25" s="801">
        <f t="shared" si="1"/>
        <v>0</v>
      </c>
      <c r="R25" s="996">
        <f t="shared" si="2"/>
        <v>0</v>
      </c>
      <c r="S25" s="818">
        <f t="shared" si="3"/>
        <v>0</v>
      </c>
      <c r="T25" s="1226"/>
      <c r="U25" s="1224"/>
      <c r="V25" s="892"/>
      <c r="W25" s="1002">
        <f t="shared" si="9"/>
        <v>0</v>
      </c>
      <c r="X25" s="892"/>
      <c r="Y25" s="892"/>
      <c r="Z25" s="892"/>
      <c r="AA25" s="892"/>
      <c r="AB25" s="906"/>
      <c r="AC25" s="892"/>
      <c r="AD25" s="820">
        <f t="shared" si="12"/>
        <v>0</v>
      </c>
      <c r="AE25" s="909"/>
      <c r="AF25" s="818">
        <f t="shared" si="5"/>
        <v>0</v>
      </c>
      <c r="AG25" s="827">
        <f t="shared" si="6"/>
        <v>0</v>
      </c>
      <c r="AJ25" s="1003">
        <f t="shared" si="10"/>
        <v>0</v>
      </c>
      <c r="AK25" s="912">
        <f t="shared" si="11"/>
        <v>0</v>
      </c>
    </row>
    <row r="26" spans="2:37" ht="15">
      <c r="B26" s="467"/>
      <c r="C26" s="889"/>
      <c r="D26" s="816"/>
      <c r="E26" s="802"/>
      <c r="F26" s="995">
        <f t="shared" si="7"/>
        <v>0</v>
      </c>
      <c r="G26" s="1224"/>
      <c r="H26" s="1224"/>
      <c r="I26" s="1229" t="str">
        <f t="shared" si="0"/>
        <v/>
      </c>
      <c r="J26" s="1229"/>
      <c r="K26" s="1230" t="str">
        <f t="shared" si="8"/>
        <v/>
      </c>
      <c r="L26" s="1231"/>
      <c r="M26" s="1224"/>
      <c r="N26" s="1225"/>
      <c r="O26" s="1227"/>
      <c r="P26" s="1224"/>
      <c r="Q26" s="801">
        <f t="shared" si="1"/>
        <v>0</v>
      </c>
      <c r="R26" s="996">
        <f t="shared" si="2"/>
        <v>0</v>
      </c>
      <c r="S26" s="818">
        <f t="shared" si="3"/>
        <v>0</v>
      </c>
      <c r="T26" s="1226"/>
      <c r="U26" s="1224"/>
      <c r="V26" s="892"/>
      <c r="W26" s="1002">
        <f t="shared" si="9"/>
        <v>0</v>
      </c>
      <c r="X26" s="892"/>
      <c r="Y26" s="892"/>
      <c r="Z26" s="892"/>
      <c r="AA26" s="892"/>
      <c r="AB26" s="906"/>
      <c r="AC26" s="892"/>
      <c r="AD26" s="820">
        <f t="shared" si="12"/>
        <v>0</v>
      </c>
      <c r="AE26" s="909"/>
      <c r="AF26" s="818">
        <f t="shared" si="5"/>
        <v>0</v>
      </c>
      <c r="AG26" s="827">
        <f t="shared" si="6"/>
        <v>0</v>
      </c>
      <c r="AJ26" s="1003">
        <f t="shared" si="10"/>
        <v>0</v>
      </c>
      <c r="AK26" s="912">
        <f t="shared" si="11"/>
        <v>0</v>
      </c>
    </row>
    <row r="27" spans="2:37" ht="15">
      <c r="B27" s="467"/>
      <c r="C27" s="889"/>
      <c r="D27" s="816"/>
      <c r="E27" s="802"/>
      <c r="F27" s="995">
        <f t="shared" si="7"/>
        <v>0</v>
      </c>
      <c r="G27" s="1224"/>
      <c r="H27" s="1224"/>
      <c r="I27" s="1229" t="str">
        <f t="shared" si="0"/>
        <v/>
      </c>
      <c r="J27" s="1229"/>
      <c r="K27" s="1230" t="str">
        <f t="shared" si="8"/>
        <v/>
      </c>
      <c r="L27" s="1231"/>
      <c r="M27" s="1224"/>
      <c r="N27" s="1225"/>
      <c r="O27" s="1227"/>
      <c r="P27" s="1224"/>
      <c r="Q27" s="801">
        <f t="shared" si="1"/>
        <v>0</v>
      </c>
      <c r="R27" s="996">
        <f t="shared" si="2"/>
        <v>0</v>
      </c>
      <c r="S27" s="818">
        <f t="shared" si="3"/>
        <v>0</v>
      </c>
      <c r="T27" s="1226"/>
      <c r="U27" s="1224"/>
      <c r="V27" s="892"/>
      <c r="W27" s="1002">
        <f t="shared" si="9"/>
        <v>0</v>
      </c>
      <c r="X27" s="892"/>
      <c r="Y27" s="892"/>
      <c r="Z27" s="892"/>
      <c r="AA27" s="892"/>
      <c r="AB27" s="906"/>
      <c r="AC27" s="892"/>
      <c r="AD27" s="820">
        <f t="shared" si="12"/>
        <v>0</v>
      </c>
      <c r="AE27" s="909"/>
      <c r="AF27" s="818">
        <f t="shared" si="5"/>
        <v>0</v>
      </c>
      <c r="AG27" s="827">
        <f t="shared" si="6"/>
        <v>0</v>
      </c>
      <c r="AJ27" s="1003">
        <f t="shared" si="10"/>
        <v>0</v>
      </c>
      <c r="AK27" s="912">
        <f t="shared" si="11"/>
        <v>0</v>
      </c>
    </row>
    <row r="28" spans="2:37" ht="15">
      <c r="B28" s="467"/>
      <c r="C28" s="889"/>
      <c r="D28" s="816"/>
      <c r="E28" s="802"/>
      <c r="F28" s="995">
        <f t="shared" si="7"/>
        <v>0</v>
      </c>
      <c r="G28" s="1224"/>
      <c r="H28" s="1224"/>
      <c r="I28" s="1229" t="str">
        <f t="shared" si="0"/>
        <v/>
      </c>
      <c r="J28" s="1229"/>
      <c r="K28" s="1230" t="str">
        <f t="shared" si="8"/>
        <v/>
      </c>
      <c r="L28" s="1231"/>
      <c r="M28" s="1224"/>
      <c r="N28" s="1225"/>
      <c r="O28" s="1227"/>
      <c r="P28" s="1224"/>
      <c r="Q28" s="801">
        <f t="shared" si="1"/>
        <v>0</v>
      </c>
      <c r="R28" s="996">
        <f t="shared" si="2"/>
        <v>0</v>
      </c>
      <c r="S28" s="818">
        <f t="shared" si="3"/>
        <v>0</v>
      </c>
      <c r="T28" s="1226"/>
      <c r="U28" s="1224"/>
      <c r="V28" s="892"/>
      <c r="W28" s="1002">
        <f t="shared" si="9"/>
        <v>0</v>
      </c>
      <c r="X28" s="892"/>
      <c r="Y28" s="892"/>
      <c r="Z28" s="892"/>
      <c r="AA28" s="892"/>
      <c r="AB28" s="906"/>
      <c r="AC28" s="892"/>
      <c r="AD28" s="820">
        <f t="shared" si="12"/>
        <v>0</v>
      </c>
      <c r="AE28" s="909"/>
      <c r="AF28" s="818">
        <f t="shared" si="5"/>
        <v>0</v>
      </c>
      <c r="AG28" s="827">
        <f t="shared" si="6"/>
        <v>0</v>
      </c>
      <c r="AJ28" s="1003">
        <f t="shared" si="10"/>
        <v>0</v>
      </c>
      <c r="AK28" s="912">
        <f t="shared" si="11"/>
        <v>0</v>
      </c>
    </row>
    <row r="29" spans="2:37" ht="15">
      <c r="B29" s="468"/>
      <c r="C29" s="890"/>
      <c r="D29" s="817"/>
      <c r="E29" s="804"/>
      <c r="F29" s="997">
        <f t="shared" si="7"/>
        <v>0</v>
      </c>
      <c r="G29" s="1238"/>
      <c r="H29" s="1238"/>
      <c r="I29" s="1237" t="str">
        <f t="shared" si="0"/>
        <v/>
      </c>
      <c r="J29" s="1237"/>
      <c r="K29" s="1239" t="str">
        <f t="shared" si="8"/>
        <v/>
      </c>
      <c r="L29" s="1240"/>
      <c r="M29" s="1238"/>
      <c r="N29" s="1242"/>
      <c r="O29" s="1241"/>
      <c r="P29" s="1238"/>
      <c r="Q29" s="805">
        <f t="shared" si="1"/>
        <v>0</v>
      </c>
      <c r="R29" s="998">
        <f t="shared" si="2"/>
        <v>0</v>
      </c>
      <c r="S29" s="819">
        <f t="shared" si="3"/>
        <v>0</v>
      </c>
      <c r="T29" s="1243"/>
      <c r="U29" s="1238"/>
      <c r="V29" s="893"/>
      <c r="W29" s="1002">
        <f t="shared" si="9"/>
        <v>0</v>
      </c>
      <c r="X29" s="893"/>
      <c r="Y29" s="893"/>
      <c r="Z29" s="893"/>
      <c r="AA29" s="893"/>
      <c r="AB29" s="907"/>
      <c r="AC29" s="893"/>
      <c r="AD29" s="805">
        <f t="shared" si="12"/>
        <v>0</v>
      </c>
      <c r="AE29" s="910"/>
      <c r="AF29" s="819">
        <f t="shared" si="5"/>
        <v>0</v>
      </c>
      <c r="AG29" s="828">
        <f t="shared" si="6"/>
        <v>0</v>
      </c>
      <c r="AJ29" s="1003">
        <f t="shared" si="10"/>
        <v>0</v>
      </c>
      <c r="AK29" s="912">
        <f t="shared" si="11"/>
        <v>0</v>
      </c>
    </row>
    <row r="30" spans="2:37" ht="15">
      <c r="B30" s="950"/>
      <c r="C30" s="950"/>
      <c r="D30" s="950"/>
      <c r="E30" s="950"/>
      <c r="F30" s="950"/>
      <c r="G30" s="950"/>
      <c r="H30" s="963"/>
      <c r="I30" s="963"/>
      <c r="J30" s="963"/>
      <c r="K30" s="963"/>
      <c r="L30" s="963"/>
      <c r="M30" s="952"/>
      <c r="N30" s="953"/>
      <c r="O30" s="953"/>
      <c r="P30" s="953"/>
      <c r="Q30" s="953"/>
      <c r="R30" s="953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73"/>
    </row>
    <row r="31" spans="2:37" ht="15">
      <c r="B31" s="83" t="s">
        <v>91</v>
      </c>
      <c r="C31" s="83"/>
      <c r="D31" s="83"/>
      <c r="E31" s="83"/>
      <c r="F31" s="83"/>
      <c r="G31" s="83"/>
      <c r="H31" s="85"/>
      <c r="I31" s="85"/>
      <c r="J31" s="85"/>
      <c r="K31" s="85"/>
      <c r="L31" s="85"/>
      <c r="M31" s="85"/>
      <c r="N31" s="85"/>
      <c r="O31" s="85"/>
      <c r="P31" s="85"/>
      <c r="Q31" s="85">
        <f>SUM(Q16:Q29)</f>
        <v>20176.388888888891</v>
      </c>
      <c r="R31" s="85">
        <f t="shared" ref="R31:AF31" si="13">SUM(R16:R29)</f>
        <v>7500</v>
      </c>
      <c r="S31" s="85">
        <f t="shared" si="13"/>
        <v>141973.61111111112</v>
      </c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>
        <f t="shared" si="13"/>
        <v>0</v>
      </c>
      <c r="AF31" s="85">
        <f t="shared" si="13"/>
        <v>120675</v>
      </c>
      <c r="AG31" s="85">
        <f>SUM(AG16:AG29)</f>
        <v>-21298.611111111109</v>
      </c>
    </row>
    <row r="32" spans="2:37" ht="15">
      <c r="B32" s="958"/>
      <c r="C32" s="958"/>
      <c r="D32" s="958"/>
      <c r="E32" s="958"/>
      <c r="F32" s="958"/>
      <c r="G32" s="958"/>
      <c r="H32" s="960"/>
      <c r="I32" s="960"/>
      <c r="J32" s="960"/>
      <c r="K32" s="960"/>
      <c r="L32" s="960"/>
      <c r="M32" s="960"/>
      <c r="N32" s="961"/>
      <c r="O32" s="961"/>
      <c r="P32" s="961"/>
      <c r="Q32" s="961"/>
      <c r="R32" s="961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0"/>
    </row>
  </sheetData>
  <mergeCells count="125">
    <mergeCell ref="B1:S1"/>
    <mergeCell ref="B2:G2"/>
    <mergeCell ref="G5:J5"/>
    <mergeCell ref="G9:S9"/>
    <mergeCell ref="O13:S13"/>
    <mergeCell ref="U1:V1"/>
    <mergeCell ref="B3:K3"/>
    <mergeCell ref="G29:H29"/>
    <mergeCell ref="I29:J29"/>
    <mergeCell ref="K29:L29"/>
    <mergeCell ref="M29:N29"/>
    <mergeCell ref="O29:P29"/>
    <mergeCell ref="T29:U29"/>
    <mergeCell ref="G28:H28"/>
    <mergeCell ref="I28:J28"/>
    <mergeCell ref="K28:L28"/>
    <mergeCell ref="M28:N28"/>
    <mergeCell ref="O28:P28"/>
    <mergeCell ref="T28:U28"/>
    <mergeCell ref="G27:H27"/>
    <mergeCell ref="I27:J27"/>
    <mergeCell ref="K27:L27"/>
    <mergeCell ref="M27:N27"/>
    <mergeCell ref="O27:P27"/>
    <mergeCell ref="T27:U27"/>
    <mergeCell ref="G26:H26"/>
    <mergeCell ref="I26:J26"/>
    <mergeCell ref="K26:L26"/>
    <mergeCell ref="M26:N26"/>
    <mergeCell ref="O26:P26"/>
    <mergeCell ref="T26:U26"/>
    <mergeCell ref="G25:H25"/>
    <mergeCell ref="I25:J25"/>
    <mergeCell ref="K25:L25"/>
    <mergeCell ref="M25:N25"/>
    <mergeCell ref="O25:P25"/>
    <mergeCell ref="T25:U25"/>
    <mergeCell ref="G24:H24"/>
    <mergeCell ref="I24:J24"/>
    <mergeCell ref="K24:L24"/>
    <mergeCell ref="M24:N24"/>
    <mergeCell ref="O24:P24"/>
    <mergeCell ref="T24:U24"/>
    <mergeCell ref="G23:H23"/>
    <mergeCell ref="I23:J23"/>
    <mergeCell ref="K23:L23"/>
    <mergeCell ref="M23:N23"/>
    <mergeCell ref="O23:P23"/>
    <mergeCell ref="T23:U23"/>
    <mergeCell ref="G22:H22"/>
    <mergeCell ref="I22:J22"/>
    <mergeCell ref="K22:L22"/>
    <mergeCell ref="M22:N22"/>
    <mergeCell ref="O22:P22"/>
    <mergeCell ref="T22:U22"/>
    <mergeCell ref="G21:H21"/>
    <mergeCell ref="I21:J21"/>
    <mergeCell ref="K21:L21"/>
    <mergeCell ref="M21:N21"/>
    <mergeCell ref="O21:P21"/>
    <mergeCell ref="T21:U21"/>
    <mergeCell ref="G20:H20"/>
    <mergeCell ref="I20:J20"/>
    <mergeCell ref="K20:L20"/>
    <mergeCell ref="M20:N20"/>
    <mergeCell ref="O20:P20"/>
    <mergeCell ref="T20:U20"/>
    <mergeCell ref="G19:H19"/>
    <mergeCell ref="I19:J19"/>
    <mergeCell ref="K19:L19"/>
    <mergeCell ref="M19:N19"/>
    <mergeCell ref="O19:P19"/>
    <mergeCell ref="T19:U19"/>
    <mergeCell ref="G18:H18"/>
    <mergeCell ref="I18:J18"/>
    <mergeCell ref="K18:L18"/>
    <mergeCell ref="M18:N18"/>
    <mergeCell ref="O18:P18"/>
    <mergeCell ref="T18:U18"/>
    <mergeCell ref="G17:H17"/>
    <mergeCell ref="I17:J17"/>
    <mergeCell ref="K17:L17"/>
    <mergeCell ref="M17:N17"/>
    <mergeCell ref="O17:P17"/>
    <mergeCell ref="T17:U17"/>
    <mergeCell ref="G7:S7"/>
    <mergeCell ref="G8:S8"/>
    <mergeCell ref="G11:S11"/>
    <mergeCell ref="B11:C11"/>
    <mergeCell ref="T16:U16"/>
    <mergeCell ref="W14:W15"/>
    <mergeCell ref="V14:V15"/>
    <mergeCell ref="X14:X15"/>
    <mergeCell ref="Y14:Y15"/>
    <mergeCell ref="G16:H16"/>
    <mergeCell ref="I16:J16"/>
    <mergeCell ref="K16:L16"/>
    <mergeCell ref="M16:N16"/>
    <mergeCell ref="O16:P16"/>
    <mergeCell ref="I14:I15"/>
    <mergeCell ref="J14:J15"/>
    <mergeCell ref="J2:Q2"/>
    <mergeCell ref="AG14:AG15"/>
    <mergeCell ref="B14:B15"/>
    <mergeCell ref="C14:C15"/>
    <mergeCell ref="D14:D15"/>
    <mergeCell ref="E14:E15"/>
    <mergeCell ref="F14:F15"/>
    <mergeCell ref="Z14:Z15"/>
    <mergeCell ref="AA14:AA15"/>
    <mergeCell ref="AB14:AB15"/>
    <mergeCell ref="AC14:AC15"/>
    <mergeCell ref="T14:T15"/>
    <mergeCell ref="U14:U15"/>
    <mergeCell ref="K14:K15"/>
    <mergeCell ref="L14:L15"/>
    <mergeCell ref="M14:M15"/>
    <mergeCell ref="N14:N15"/>
    <mergeCell ref="G14:H15"/>
    <mergeCell ref="O14:O15"/>
    <mergeCell ref="P14:P15"/>
    <mergeCell ref="T13:AF13"/>
    <mergeCell ref="B7:C7"/>
    <mergeCell ref="B8:C8"/>
    <mergeCell ref="U7:AF8"/>
  </mergeCells>
  <dataValidations count="1">
    <dataValidation type="list" allowBlank="1" showInputMessage="1" showErrorMessage="1" sqref="D7 D8 D11" xr:uid="{736DB52B-D278-4064-8246-CFDDA7A38E29}">
      <formula1>$AJ$7:$AK$7</formula1>
    </dataValidation>
  </dataValidations>
  <hyperlinks>
    <hyperlink ref="U1" location="Inhaltsverzeichnis!A1" display="zum Inhaltsverzeichnis" xr:uid="{09A3CD92-83CA-408A-9EC9-E041DF087D5D}"/>
  </hyperlinks>
  <pageMargins left="0.7" right="0.7" top="0.78740157499999996" bottom="0.78740157499999996" header="0.3" footer="0.3"/>
  <pageSetup paperSize="9" scale="37" orientation="landscape" r:id="rId1"/>
  <colBreaks count="1" manualBreakCount="1">
    <brk id="3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55477-255A-48D3-B545-41535E4F8A99}">
  <sheetPr>
    <pageSetUpPr fitToPage="1"/>
  </sheetPr>
  <dimension ref="A1:R22"/>
  <sheetViews>
    <sheetView showGridLines="0" zoomScaleNormal="100" workbookViewId="0">
      <pane ySplit="5" topLeftCell="A6" activePane="bottomLeft" state="frozen"/>
      <selection pane="bottomLeft" activeCell="B8" sqref="B8"/>
    </sheetView>
  </sheetViews>
  <sheetFormatPr baseColWidth="10" defaultColWidth="0" defaultRowHeight="15" zeroHeight="1"/>
  <cols>
    <col min="1" max="1" width="1.7109375" customWidth="1"/>
    <col min="2" max="2" width="34" customWidth="1"/>
    <col min="3" max="3" width="11.7109375" customWidth="1"/>
    <col min="4" max="4" width="16" customWidth="1"/>
    <col min="5" max="5" width="20.28515625" customWidth="1"/>
    <col min="6" max="6" width="19.42578125" customWidth="1"/>
    <col min="7" max="7" width="20" customWidth="1"/>
    <col min="8" max="8" width="16.5703125" customWidth="1"/>
    <col min="9" max="15" width="16.5703125" style="671" customWidth="1"/>
    <col min="16" max="16" width="1.7109375" customWidth="1"/>
    <col min="17" max="17" width="21.140625" customWidth="1"/>
    <col min="18" max="18" width="0" hidden="1" customWidth="1"/>
    <col min="19" max="16384" width="11.42578125" hidden="1"/>
  </cols>
  <sheetData>
    <row r="1" spans="2:17" ht="35.1" customHeight="1">
      <c r="B1" s="1285" t="s">
        <v>376</v>
      </c>
      <c r="C1" s="1161"/>
      <c r="D1" s="1161"/>
      <c r="E1" s="1161"/>
      <c r="F1" s="1161"/>
      <c r="G1" s="849"/>
      <c r="H1" s="849"/>
      <c r="I1" s="849"/>
      <c r="J1" s="849"/>
      <c r="K1" s="849"/>
      <c r="L1" s="849"/>
      <c r="M1" s="849"/>
      <c r="N1" s="849"/>
      <c r="O1" s="849"/>
      <c r="Q1" s="464" t="s">
        <v>269</v>
      </c>
    </row>
    <row r="2" spans="2:17" s="616" customFormat="1">
      <c r="B2" s="1166" t="s">
        <v>342</v>
      </c>
      <c r="C2" s="1166"/>
      <c r="D2" s="1166"/>
      <c r="E2" s="1166"/>
      <c r="F2" s="1166"/>
      <c r="G2" s="1166"/>
      <c r="H2" s="1166"/>
      <c r="I2" s="669"/>
      <c r="J2" s="669"/>
      <c r="K2" s="669"/>
      <c r="L2" s="669"/>
      <c r="M2" s="669"/>
      <c r="N2" s="669"/>
      <c r="O2" s="669"/>
      <c r="Q2" s="464"/>
    </row>
    <row r="3" spans="2:17" s="671" customFormat="1">
      <c r="B3" s="1167" t="s">
        <v>411</v>
      </c>
      <c r="C3" s="1167"/>
      <c r="D3" s="1167"/>
      <c r="E3" s="1167"/>
      <c r="F3" s="1167"/>
      <c r="G3" s="1167"/>
      <c r="H3" s="669"/>
      <c r="I3" s="669"/>
      <c r="J3" s="669"/>
      <c r="K3" s="669"/>
      <c r="L3" s="669"/>
      <c r="M3" s="669"/>
      <c r="N3" s="669"/>
      <c r="O3" s="669"/>
      <c r="Q3" s="464"/>
    </row>
    <row r="4" spans="2:17" s="214" customFormat="1" ht="15" customHeight="1">
      <c r="B4" s="458"/>
      <c r="I4" s="603"/>
      <c r="J4" s="603"/>
      <c r="K4" s="603"/>
      <c r="L4" s="603"/>
      <c r="M4" s="603"/>
      <c r="N4" s="603"/>
      <c r="O4" s="603" t="s">
        <v>314</v>
      </c>
    </row>
    <row r="5" spans="2:17">
      <c r="B5" s="186" t="s">
        <v>75</v>
      </c>
      <c r="C5" s="1286" t="str">
        <f>Mandantendaten!C3</f>
        <v>Max Mustermann</v>
      </c>
      <c r="D5" s="1183"/>
      <c r="E5" s="1183"/>
      <c r="F5" s="1183"/>
      <c r="G5" s="1183"/>
      <c r="I5" s="223"/>
      <c r="J5" s="223"/>
      <c r="K5" s="223"/>
      <c r="L5" s="223"/>
      <c r="M5" s="223"/>
      <c r="N5" s="223"/>
      <c r="O5" s="223">
        <f>Mandantendaten!C5</f>
        <v>44561</v>
      </c>
    </row>
    <row r="6" spans="2:17" ht="37.35" customHeight="1">
      <c r="B6" s="60"/>
      <c r="C6" s="1278" t="s">
        <v>390</v>
      </c>
      <c r="D6" s="1279"/>
      <c r="E6" s="1279"/>
      <c r="F6" s="1279"/>
      <c r="G6" s="1279"/>
      <c r="H6" s="1280"/>
      <c r="I6" s="1278" t="s">
        <v>391</v>
      </c>
      <c r="J6" s="1279"/>
      <c r="K6" s="1279"/>
      <c r="L6" s="1279"/>
      <c r="M6" s="1279"/>
      <c r="N6" s="1280"/>
      <c r="O6" s="1136" t="s">
        <v>532</v>
      </c>
    </row>
    <row r="7" spans="2:17">
      <c r="B7" s="163" t="s">
        <v>159</v>
      </c>
      <c r="C7" s="874" t="s">
        <v>132</v>
      </c>
      <c r="D7" s="875">
        <f>IF(YEAR($O$5)=2020,$O$5-365,IF(YEAR($O$5)=2024,$O$5-365,IF(YEAR($O$5)=2025,$O$5-365,$O$5-364)))</f>
        <v>44197</v>
      </c>
      <c r="E7" s="876" t="s">
        <v>133</v>
      </c>
      <c r="F7" s="876" t="s">
        <v>158</v>
      </c>
      <c r="G7" s="876" t="s">
        <v>134</v>
      </c>
      <c r="H7" s="877">
        <f>$O$5</f>
        <v>44561</v>
      </c>
      <c r="I7" s="874" t="s">
        <v>132</v>
      </c>
      <c r="J7" s="875">
        <f>IF(YEAR($O$5)=2020,$O$5-365,IF(YEAR($O$5)=2024,$O$5-365,IF(YEAR($O$5)=2025,$O$5-365,$O$5-364)))</f>
        <v>44197</v>
      </c>
      <c r="K7" s="876" t="s">
        <v>133</v>
      </c>
      <c r="L7" s="876" t="s">
        <v>158</v>
      </c>
      <c r="M7" s="876" t="s">
        <v>134</v>
      </c>
      <c r="N7" s="877">
        <f>$O$5</f>
        <v>44561</v>
      </c>
      <c r="O7" s="1137"/>
    </row>
    <row r="8" spans="2:17">
      <c r="B8" s="71"/>
      <c r="C8" s="1287"/>
      <c r="D8" s="1282"/>
      <c r="E8" s="736"/>
      <c r="F8" s="736"/>
      <c r="G8" s="737"/>
      <c r="H8" s="832">
        <f>C8-E8-F8+G8</f>
        <v>0</v>
      </c>
      <c r="I8" s="1281"/>
      <c r="J8" s="1282"/>
      <c r="K8" s="736"/>
      <c r="L8" s="736"/>
      <c r="M8" s="834"/>
      <c r="N8" s="832">
        <f t="shared" ref="N8:N19" si="0">IF(I8-K8-L8+M8&gt;H8,H8,I8-K8-L8+M8)</f>
        <v>0</v>
      </c>
      <c r="O8" s="832">
        <f t="shared" ref="O8:O19" si="1">N8-H8</f>
        <v>0</v>
      </c>
    </row>
    <row r="9" spans="2:17">
      <c r="B9" s="74"/>
      <c r="C9" s="1277"/>
      <c r="D9" s="1277"/>
      <c r="E9" s="76"/>
      <c r="F9" s="76"/>
      <c r="G9" s="183"/>
      <c r="H9" s="771">
        <f>C9-E9-F9+G9</f>
        <v>0</v>
      </c>
      <c r="I9" s="1276"/>
      <c r="J9" s="1277"/>
      <c r="K9" s="675"/>
      <c r="L9" s="675"/>
      <c r="M9" s="835"/>
      <c r="N9" s="771">
        <f t="shared" si="0"/>
        <v>0</v>
      </c>
      <c r="O9" s="771">
        <f t="shared" si="1"/>
        <v>0</v>
      </c>
    </row>
    <row r="10" spans="2:17">
      <c r="B10" s="74"/>
      <c r="C10" s="1277"/>
      <c r="D10" s="1277"/>
      <c r="E10" s="76"/>
      <c r="F10" s="76"/>
      <c r="G10" s="183"/>
      <c r="H10" s="771">
        <f>C10-E10-F10+G10</f>
        <v>0</v>
      </c>
      <c r="I10" s="1276"/>
      <c r="J10" s="1277"/>
      <c r="K10" s="675"/>
      <c r="L10" s="675"/>
      <c r="M10" s="835"/>
      <c r="N10" s="771">
        <f t="shared" si="0"/>
        <v>0</v>
      </c>
      <c r="O10" s="771">
        <f t="shared" si="1"/>
        <v>0</v>
      </c>
    </row>
    <row r="11" spans="2:17">
      <c r="B11" s="74"/>
      <c r="C11" s="1277"/>
      <c r="D11" s="1277"/>
      <c r="E11" s="76"/>
      <c r="F11" s="76"/>
      <c r="G11" s="183"/>
      <c r="H11" s="771">
        <f t="shared" ref="H11:H19" si="2">C11-E11-F11+G11</f>
        <v>0</v>
      </c>
      <c r="I11" s="1276"/>
      <c r="J11" s="1277"/>
      <c r="K11" s="675"/>
      <c r="L11" s="675"/>
      <c r="M11" s="835"/>
      <c r="N11" s="771">
        <f t="shared" si="0"/>
        <v>0</v>
      </c>
      <c r="O11" s="771">
        <f t="shared" si="1"/>
        <v>0</v>
      </c>
    </row>
    <row r="12" spans="2:17">
      <c r="B12" s="74"/>
      <c r="C12" s="1277"/>
      <c r="D12" s="1277"/>
      <c r="E12" s="76"/>
      <c r="F12" s="76"/>
      <c r="G12" s="183"/>
      <c r="H12" s="771">
        <f t="shared" si="2"/>
        <v>0</v>
      </c>
      <c r="I12" s="1276"/>
      <c r="J12" s="1277"/>
      <c r="K12" s="675"/>
      <c r="L12" s="675"/>
      <c r="M12" s="835"/>
      <c r="N12" s="771">
        <f t="shared" si="0"/>
        <v>0</v>
      </c>
      <c r="O12" s="771">
        <f t="shared" si="1"/>
        <v>0</v>
      </c>
    </row>
    <row r="13" spans="2:17">
      <c r="B13" s="74"/>
      <c r="C13" s="1277"/>
      <c r="D13" s="1277"/>
      <c r="E13" s="76"/>
      <c r="F13" s="76"/>
      <c r="G13" s="183"/>
      <c r="H13" s="771">
        <f t="shared" si="2"/>
        <v>0</v>
      </c>
      <c r="I13" s="1276"/>
      <c r="J13" s="1277"/>
      <c r="K13" s="675"/>
      <c r="L13" s="675"/>
      <c r="M13" s="835"/>
      <c r="N13" s="771">
        <f t="shared" si="0"/>
        <v>0</v>
      </c>
      <c r="O13" s="771">
        <f t="shared" si="1"/>
        <v>0</v>
      </c>
    </row>
    <row r="14" spans="2:17">
      <c r="B14" s="74"/>
      <c r="C14" s="1277"/>
      <c r="D14" s="1277"/>
      <c r="E14" s="76"/>
      <c r="F14" s="76"/>
      <c r="G14" s="183"/>
      <c r="H14" s="771">
        <f t="shared" si="2"/>
        <v>0</v>
      </c>
      <c r="I14" s="1276"/>
      <c r="J14" s="1277"/>
      <c r="K14" s="675"/>
      <c r="L14" s="675"/>
      <c r="M14" s="835"/>
      <c r="N14" s="771">
        <f t="shared" si="0"/>
        <v>0</v>
      </c>
      <c r="O14" s="771">
        <f t="shared" si="1"/>
        <v>0</v>
      </c>
    </row>
    <row r="15" spans="2:17">
      <c r="B15" s="74"/>
      <c r="C15" s="1277"/>
      <c r="D15" s="1277"/>
      <c r="E15" s="76"/>
      <c r="F15" s="76"/>
      <c r="G15" s="183"/>
      <c r="H15" s="771">
        <f t="shared" si="2"/>
        <v>0</v>
      </c>
      <c r="I15" s="1276"/>
      <c r="J15" s="1277"/>
      <c r="K15" s="675"/>
      <c r="L15" s="675"/>
      <c r="M15" s="835"/>
      <c r="N15" s="771">
        <f t="shared" si="0"/>
        <v>0</v>
      </c>
      <c r="O15" s="771">
        <f t="shared" si="1"/>
        <v>0</v>
      </c>
    </row>
    <row r="16" spans="2:17">
      <c r="B16" s="74"/>
      <c r="C16" s="1277"/>
      <c r="D16" s="1277"/>
      <c r="E16" s="76"/>
      <c r="F16" s="76"/>
      <c r="G16" s="183"/>
      <c r="H16" s="771">
        <f t="shared" si="2"/>
        <v>0</v>
      </c>
      <c r="I16" s="1276"/>
      <c r="J16" s="1277"/>
      <c r="K16" s="675"/>
      <c r="L16" s="675"/>
      <c r="M16" s="835"/>
      <c r="N16" s="771">
        <f t="shared" si="0"/>
        <v>0</v>
      </c>
      <c r="O16" s="771">
        <f t="shared" si="1"/>
        <v>0</v>
      </c>
    </row>
    <row r="17" spans="2:15">
      <c r="B17" s="74"/>
      <c r="C17" s="1277"/>
      <c r="D17" s="1277"/>
      <c r="E17" s="76"/>
      <c r="F17" s="76"/>
      <c r="G17" s="183"/>
      <c r="H17" s="771">
        <f t="shared" si="2"/>
        <v>0</v>
      </c>
      <c r="I17" s="1276"/>
      <c r="J17" s="1277"/>
      <c r="K17" s="675"/>
      <c r="L17" s="675"/>
      <c r="M17" s="835"/>
      <c r="N17" s="771">
        <f t="shared" si="0"/>
        <v>0</v>
      </c>
      <c r="O17" s="771">
        <f t="shared" si="1"/>
        <v>0</v>
      </c>
    </row>
    <row r="18" spans="2:15">
      <c r="B18" s="74"/>
      <c r="C18" s="1277"/>
      <c r="D18" s="1277"/>
      <c r="E18" s="76"/>
      <c r="F18" s="76"/>
      <c r="G18" s="183"/>
      <c r="H18" s="771">
        <f t="shared" si="2"/>
        <v>0</v>
      </c>
      <c r="I18" s="1276"/>
      <c r="J18" s="1277"/>
      <c r="K18" s="675"/>
      <c r="L18" s="675"/>
      <c r="M18" s="835"/>
      <c r="N18" s="771">
        <f t="shared" si="0"/>
        <v>0</v>
      </c>
      <c r="O18" s="771">
        <f t="shared" si="1"/>
        <v>0</v>
      </c>
    </row>
    <row r="19" spans="2:15">
      <c r="B19" s="78"/>
      <c r="C19" s="1284"/>
      <c r="D19" s="1284"/>
      <c r="E19" s="184"/>
      <c r="F19" s="184"/>
      <c r="G19" s="185"/>
      <c r="H19" s="833">
        <f t="shared" si="2"/>
        <v>0</v>
      </c>
      <c r="I19" s="1283"/>
      <c r="J19" s="1284"/>
      <c r="K19" s="676"/>
      <c r="L19" s="676"/>
      <c r="M19" s="836"/>
      <c r="N19" s="833">
        <f t="shared" si="0"/>
        <v>0</v>
      </c>
      <c r="O19" s="833">
        <f t="shared" si="1"/>
        <v>0</v>
      </c>
    </row>
    <row r="20" spans="2:15">
      <c r="B20" s="10"/>
      <c r="C20" s="10"/>
      <c r="D20" s="10"/>
      <c r="E20" s="123"/>
      <c r="F20" s="123"/>
      <c r="G20" s="123"/>
      <c r="H20" s="89"/>
      <c r="I20" s="10"/>
      <c r="J20" s="10"/>
      <c r="K20" s="123"/>
      <c r="L20" s="123"/>
      <c r="M20" s="123"/>
      <c r="N20" s="89"/>
      <c r="O20" s="73"/>
    </row>
    <row r="21" spans="2:15">
      <c r="B21" s="83" t="s">
        <v>91</v>
      </c>
      <c r="C21" s="1274">
        <f>SUM(C8:D20)</f>
        <v>0</v>
      </c>
      <c r="D21" s="1275"/>
      <c r="E21" s="162">
        <f>SUM(E8:E20)</f>
        <v>0</v>
      </c>
      <c r="F21" s="162">
        <f>SUM(F8:F20)</f>
        <v>0</v>
      </c>
      <c r="G21" s="162">
        <f>SUM(G8:G20)</f>
        <v>0</v>
      </c>
      <c r="H21" s="739">
        <f>SUM(H8:H20)</f>
        <v>0</v>
      </c>
      <c r="I21" s="1274">
        <f>SUM(I8:J20)</f>
        <v>0</v>
      </c>
      <c r="J21" s="1275"/>
      <c r="K21" s="677">
        <f>SUM(K8:K20)</f>
        <v>0</v>
      </c>
      <c r="L21" s="677">
        <f>SUM(L8:L20)</f>
        <v>0</v>
      </c>
      <c r="M21" s="677">
        <f>SUM(M8:M20)</f>
        <v>0</v>
      </c>
      <c r="N21" s="739">
        <f>SUM(N8:N20)</f>
        <v>0</v>
      </c>
      <c r="O21" s="738">
        <f>N21-H21</f>
        <v>0</v>
      </c>
    </row>
    <row r="22" spans="2:15">
      <c r="B22" s="90"/>
      <c r="C22" s="90"/>
      <c r="D22" s="90"/>
      <c r="E22" s="187"/>
      <c r="F22" s="187"/>
      <c r="G22" s="187"/>
      <c r="H22" s="63"/>
      <c r="I22" s="63"/>
      <c r="J22" s="63"/>
      <c r="K22" s="63"/>
      <c r="L22" s="63"/>
      <c r="M22" s="63"/>
      <c r="N22" s="63"/>
      <c r="O22" s="63"/>
    </row>
  </sheetData>
  <sheetProtection algorithmName="SHA-512" hashValue="cPX5Yba6exTiAgxkTjnQ5EE3TdBg8u/MCouU6vjZ9DCfxM9DmRUBkLek8kgdULOwfddthl+yul6CSLn4hbFfVQ==" saltValue="AT05Msmm0W0PVLdnDP+e7Q==" spinCount="100000" sheet="1" objects="1" scenarios="1"/>
  <mergeCells count="33">
    <mergeCell ref="B1:F1"/>
    <mergeCell ref="C17:D17"/>
    <mergeCell ref="C18:D18"/>
    <mergeCell ref="C19:D19"/>
    <mergeCell ref="C21:D21"/>
    <mergeCell ref="C11:D11"/>
    <mergeCell ref="C12:D12"/>
    <mergeCell ref="C13:D13"/>
    <mergeCell ref="C14:D14"/>
    <mergeCell ref="C15:D15"/>
    <mergeCell ref="C16:D16"/>
    <mergeCell ref="C10:D10"/>
    <mergeCell ref="C5:G5"/>
    <mergeCell ref="C8:D8"/>
    <mergeCell ref="C9:D9"/>
    <mergeCell ref="B2:H2"/>
    <mergeCell ref="B3:G3"/>
    <mergeCell ref="C6:H6"/>
    <mergeCell ref="I17:J17"/>
    <mergeCell ref="I18:J18"/>
    <mergeCell ref="I19:J19"/>
    <mergeCell ref="I21:J21"/>
    <mergeCell ref="O6:O7"/>
    <mergeCell ref="I12:J12"/>
    <mergeCell ref="I13:J13"/>
    <mergeCell ref="I14:J14"/>
    <mergeCell ref="I15:J15"/>
    <mergeCell ref="I16:J16"/>
    <mergeCell ref="I6:N6"/>
    <mergeCell ref="I8:J8"/>
    <mergeCell ref="I9:J9"/>
    <mergeCell ref="I10:J10"/>
    <mergeCell ref="I11:J11"/>
  </mergeCells>
  <hyperlinks>
    <hyperlink ref="Q1" location="Inhaltsverzeichnis!A1" display="zum Inhaltsverzeichnis" xr:uid="{C385D73D-C232-470D-A96B-D23C99B62898}"/>
  </hyperlinks>
  <pageMargins left="0.7" right="0.7" top="0.78740157499999996" bottom="0.78740157499999996" header="0.3" footer="0.3"/>
  <pageSetup paperSize="9" scale="93" orientation="landscape" r:id="rId1"/>
  <colBreaks count="1" manualBreakCount="1">
    <brk id="1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7DFEF-38CC-470E-8E0C-5515616F74C5}">
  <sheetPr>
    <pageSetUpPr fitToPage="1"/>
  </sheetPr>
  <dimension ref="A1:L21"/>
  <sheetViews>
    <sheetView showGridLines="0" zoomScaleNormal="100" workbookViewId="0">
      <pane ySplit="5" topLeftCell="A7" activePane="bottomLeft" state="frozen"/>
      <selection pane="bottomLeft" activeCell="D8" sqref="D8:E8"/>
    </sheetView>
  </sheetViews>
  <sheetFormatPr baseColWidth="10" defaultColWidth="0" defaultRowHeight="14.65" customHeight="1" zeroHeight="1"/>
  <cols>
    <col min="1" max="1" width="1.7109375" style="912" customWidth="1"/>
    <col min="2" max="2" width="30.7109375" style="912" customWidth="1"/>
    <col min="3" max="3" width="13.140625" style="912" customWidth="1"/>
    <col min="4" max="4" width="11.42578125" style="912" customWidth="1"/>
    <col min="5" max="5" width="14.28515625" style="912" customWidth="1"/>
    <col min="6" max="6" width="16" style="912" customWidth="1"/>
    <col min="7" max="7" width="11.5703125" style="912" customWidth="1"/>
    <col min="8" max="8" width="17.85546875" style="912" customWidth="1"/>
    <col min="9" max="9" width="16.140625" style="912" customWidth="1"/>
    <col min="10" max="10" width="1.7109375" style="912" customWidth="1"/>
    <col min="11" max="11" width="20.85546875" style="912" customWidth="1"/>
    <col min="12" max="12" width="0" style="912" hidden="1" customWidth="1"/>
    <col min="13" max="16384" width="11.42578125" style="912" hidden="1"/>
  </cols>
  <sheetData>
    <row r="1" spans="2:11" ht="35.1" customHeight="1">
      <c r="B1" s="1131" t="s">
        <v>459</v>
      </c>
      <c r="C1" s="1131"/>
      <c r="D1" s="1170"/>
      <c r="E1" s="1170"/>
      <c r="F1" s="1170"/>
      <c r="G1" s="1170"/>
      <c r="H1" s="1170"/>
      <c r="I1" s="1170"/>
      <c r="K1" s="913" t="s">
        <v>269</v>
      </c>
    </row>
    <row r="2" spans="2:11" ht="15">
      <c r="B2" s="1135" t="s">
        <v>460</v>
      </c>
      <c r="C2" s="1135"/>
      <c r="D2" s="1135"/>
      <c r="E2" s="1135"/>
      <c r="F2" s="1135"/>
      <c r="G2" s="1135"/>
      <c r="H2" s="1135"/>
      <c r="I2" s="1135"/>
      <c r="K2" s="913"/>
    </row>
    <row r="3" spans="2:11" ht="15">
      <c r="B3" s="1135" t="s">
        <v>461</v>
      </c>
      <c r="C3" s="1135"/>
      <c r="D3" s="1135"/>
      <c r="E3" s="1135"/>
      <c r="F3" s="1135"/>
      <c r="G3" s="1135"/>
      <c r="H3" s="1135"/>
      <c r="I3" s="915"/>
      <c r="K3" s="913"/>
    </row>
    <row r="4" spans="2:11" ht="15" customHeight="1">
      <c r="B4" s="916"/>
      <c r="C4" s="916"/>
      <c r="I4" s="983" t="s">
        <v>314</v>
      </c>
    </row>
    <row r="5" spans="2:11" ht="15">
      <c r="B5" s="886" t="s">
        <v>75</v>
      </c>
      <c r="C5" s="886"/>
      <c r="D5" s="1157" t="str">
        <f>Mandantendaten!C3</f>
        <v>Max Mustermann</v>
      </c>
      <c r="E5" s="1174"/>
      <c r="F5" s="1174"/>
      <c r="G5" s="1174"/>
      <c r="H5" s="1174"/>
      <c r="I5" s="899">
        <f>Mandantendaten!C5</f>
        <v>44561</v>
      </c>
    </row>
    <row r="6" spans="2:11" ht="15">
      <c r="B6" s="60"/>
      <c r="C6" s="60"/>
      <c r="D6" s="60"/>
      <c r="E6" s="60"/>
      <c r="F6" s="60"/>
      <c r="G6" s="60"/>
      <c r="H6" s="63"/>
      <c r="I6" s="63"/>
    </row>
    <row r="7" spans="2:11" ht="15">
      <c r="D7" s="98" t="s">
        <v>132</v>
      </c>
      <c r="E7" s="179">
        <f>IF(YEAR($I$5)=2020,$I$5-365,IF(YEAR($I$5)=2024,$I$5-365,IF(YEAR($I$5)=2025,$I$5-365,$I$5-364)))</f>
        <v>44197</v>
      </c>
      <c r="F7" s="179" t="s">
        <v>463</v>
      </c>
      <c r="G7" s="179">
        <f>E7</f>
        <v>44197</v>
      </c>
      <c r="H7" s="971" t="s">
        <v>464</v>
      </c>
      <c r="I7" s="160">
        <f>$I$5</f>
        <v>44561</v>
      </c>
    </row>
    <row r="8" spans="2:11" ht="15">
      <c r="B8" s="95" t="s">
        <v>462</v>
      </c>
      <c r="C8" s="797">
        <f>YEAR(E7)-4</f>
        <v>2017</v>
      </c>
      <c r="D8" s="1179">
        <v>2000</v>
      </c>
      <c r="E8" s="1180"/>
      <c r="F8" s="1288">
        <f>C8-YEAR(E7)+5</f>
        <v>1</v>
      </c>
      <c r="G8" s="1289"/>
      <c r="H8" s="911">
        <f>D8/F8</f>
        <v>2000</v>
      </c>
      <c r="I8" s="73">
        <f>D8-H8</f>
        <v>0</v>
      </c>
    </row>
    <row r="9" spans="2:11" ht="15">
      <c r="B9" s="897"/>
      <c r="C9" s="897"/>
      <c r="D9" s="897"/>
      <c r="E9" s="897"/>
      <c r="F9" s="897"/>
      <c r="G9" s="897"/>
      <c r="H9" s="25"/>
      <c r="I9" s="25"/>
    </row>
    <row r="10" spans="2:11" ht="14.65" customHeight="1">
      <c r="D10" s="98" t="s">
        <v>132</v>
      </c>
      <c r="E10" s="179">
        <f>IF(YEAR($I$5)=2020,$I$5-365,IF(YEAR($I$5)=2024,$I$5-365,IF(YEAR($I$5)=2025,$I$5-365,$I$5-364)))</f>
        <v>44197</v>
      </c>
      <c r="F10" s="179" t="s">
        <v>463</v>
      </c>
      <c r="G10" s="179">
        <f>E10</f>
        <v>44197</v>
      </c>
      <c r="H10" s="971" t="s">
        <v>464</v>
      </c>
      <c r="I10" s="160">
        <f>$I$5</f>
        <v>44561</v>
      </c>
    </row>
    <row r="11" spans="2:11" ht="14.65" customHeight="1">
      <c r="B11" s="95" t="s">
        <v>462</v>
      </c>
      <c r="C11" s="797">
        <f>YEAR(E10)-3</f>
        <v>2018</v>
      </c>
      <c r="D11" s="1179">
        <v>2000</v>
      </c>
      <c r="E11" s="1180"/>
      <c r="F11" s="1288">
        <f>C11-YEAR(E10)+5</f>
        <v>2</v>
      </c>
      <c r="G11" s="1289"/>
      <c r="H11" s="911">
        <f>D11/F11</f>
        <v>1000</v>
      </c>
      <c r="I11" s="73">
        <f>D11-H11</f>
        <v>1000</v>
      </c>
    </row>
    <row r="12" spans="2:11" ht="14.65" customHeight="1"/>
    <row r="13" spans="2:11" ht="14.65" customHeight="1">
      <c r="D13" s="98" t="s">
        <v>132</v>
      </c>
      <c r="E13" s="179">
        <f>IF(YEAR($I$5)=2020,$I$5-365,IF(YEAR($I$5)=2024,$I$5-365,IF(YEAR($I$5)=2025,$I$5-365,$I$5-364)))</f>
        <v>44197</v>
      </c>
      <c r="F13" s="179" t="s">
        <v>463</v>
      </c>
      <c r="G13" s="179">
        <f>E13</f>
        <v>44197</v>
      </c>
      <c r="H13" s="971" t="s">
        <v>464</v>
      </c>
      <c r="I13" s="160">
        <f>$I$5</f>
        <v>44561</v>
      </c>
    </row>
    <row r="14" spans="2:11" ht="14.65" customHeight="1">
      <c r="B14" s="95" t="s">
        <v>462</v>
      </c>
      <c r="C14" s="797">
        <f>YEAR(E13)-2</f>
        <v>2019</v>
      </c>
      <c r="D14" s="1179">
        <v>2000</v>
      </c>
      <c r="E14" s="1180"/>
      <c r="F14" s="1288">
        <f>C14-YEAR(E13)+5</f>
        <v>3</v>
      </c>
      <c r="G14" s="1289"/>
      <c r="H14" s="911">
        <f>D14/F14</f>
        <v>666.66666666666663</v>
      </c>
      <c r="I14" s="73">
        <f>D14-H14</f>
        <v>1333.3333333333335</v>
      </c>
    </row>
    <row r="15" spans="2:11" ht="14.65" customHeight="1"/>
    <row r="16" spans="2:11" ht="14.65" customHeight="1">
      <c r="D16" s="98" t="s">
        <v>132</v>
      </c>
      <c r="E16" s="179">
        <f>IF(YEAR($I$5)=2020,$I$5-365,IF(YEAR($I$5)=2024,$I$5-365,IF(YEAR($I$5)=2025,$I$5-365,$I$5-364)))</f>
        <v>44197</v>
      </c>
      <c r="F16" s="179" t="s">
        <v>463</v>
      </c>
      <c r="G16" s="179">
        <f>E16</f>
        <v>44197</v>
      </c>
      <c r="H16" s="971" t="s">
        <v>464</v>
      </c>
      <c r="I16" s="160">
        <f>$I$5</f>
        <v>44561</v>
      </c>
    </row>
    <row r="17" spans="2:9" ht="14.65" customHeight="1">
      <c r="B17" s="95" t="s">
        <v>462</v>
      </c>
      <c r="C17" s="797">
        <f>YEAR(E16)-1</f>
        <v>2020</v>
      </c>
      <c r="D17" s="1179">
        <v>2000</v>
      </c>
      <c r="E17" s="1180"/>
      <c r="F17" s="1288">
        <f>C17-YEAR(E16)+5</f>
        <v>4</v>
      </c>
      <c r="G17" s="1289"/>
      <c r="H17" s="911">
        <f>D17/F17</f>
        <v>500</v>
      </c>
      <c r="I17" s="73">
        <f>D17-H17</f>
        <v>1500</v>
      </c>
    </row>
    <row r="18" spans="2:9" ht="14.65" customHeight="1"/>
    <row r="19" spans="2:9" ht="14.65" customHeight="1">
      <c r="D19" s="98" t="s">
        <v>465</v>
      </c>
      <c r="E19" s="798">
        <f>C20</f>
        <v>2021</v>
      </c>
      <c r="F19" s="179" t="s">
        <v>463</v>
      </c>
      <c r="G19" s="179">
        <f>G7</f>
        <v>44197</v>
      </c>
      <c r="H19" s="971" t="s">
        <v>464</v>
      </c>
      <c r="I19" s="160">
        <f>$I$5</f>
        <v>44561</v>
      </c>
    </row>
    <row r="20" spans="2:9" ht="14.65" customHeight="1">
      <c r="B20" s="95" t="s">
        <v>462</v>
      </c>
      <c r="C20" s="797">
        <f>YEAR(E7)</f>
        <v>2021</v>
      </c>
      <c r="D20" s="1179">
        <v>2000</v>
      </c>
      <c r="E20" s="1180"/>
      <c r="F20" s="1288">
        <f>C20-E19+5</f>
        <v>5</v>
      </c>
      <c r="G20" s="1289"/>
      <c r="H20" s="911">
        <f>D20/F20</f>
        <v>400</v>
      </c>
      <c r="I20" s="73">
        <f>D20-H20</f>
        <v>1600</v>
      </c>
    </row>
    <row r="21" spans="2:9" ht="14.65" customHeight="1"/>
  </sheetData>
  <sheetProtection algorithmName="SHA-512" hashValue="BXRR3Efhvf1hJH8TpQbCVSBCtbm+Q+ffL8VmRpRaiicfMbnZ98rnpb1lbAChnnoL95J3sT1Wk+EDXdcyS4ZndA==" saltValue="hP/Pq6xdNp++w1fYjnvhTA==" spinCount="100000" sheet="1" objects="1" scenarios="1"/>
  <mergeCells count="14">
    <mergeCell ref="F20:G20"/>
    <mergeCell ref="D20:E20"/>
    <mergeCell ref="D11:E11"/>
    <mergeCell ref="D14:E14"/>
    <mergeCell ref="B1:I1"/>
    <mergeCell ref="B2:I2"/>
    <mergeCell ref="B3:H3"/>
    <mergeCell ref="D5:H5"/>
    <mergeCell ref="D8:E8"/>
    <mergeCell ref="F8:G8"/>
    <mergeCell ref="F11:G11"/>
    <mergeCell ref="F14:G14"/>
    <mergeCell ref="D17:E17"/>
    <mergeCell ref="F17:G17"/>
  </mergeCells>
  <hyperlinks>
    <hyperlink ref="K1" location="Inhaltsverzeichnis!A1" display="zum Inhaltsverzeichnis" xr:uid="{AE502568-EB7E-4B12-9D51-B3BBF9666D4F}"/>
  </hyperlinks>
  <pageMargins left="0.7" right="0.7" top="0.78740157499999996" bottom="0.78740157499999996" header="0.3" footer="0.3"/>
  <pageSetup paperSize="9" scale="77" orientation="portrait" r:id="rId1"/>
  <colBreaks count="1" manualBreakCount="1">
    <brk id="9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715B-41A8-4AAB-B1EA-848354D9BDA7}">
  <sheetPr>
    <pageSetUpPr fitToPage="1"/>
  </sheetPr>
  <dimension ref="A1:U52"/>
  <sheetViews>
    <sheetView showGridLines="0" zoomScaleNormal="100" workbookViewId="0">
      <pane ySplit="9" topLeftCell="A10" activePane="bottomLeft" state="frozen"/>
      <selection pane="bottomLeft" activeCell="B13" sqref="B13"/>
    </sheetView>
  </sheetViews>
  <sheetFormatPr baseColWidth="10" defaultColWidth="0" defaultRowHeight="14.65" customHeight="1" zeroHeight="1"/>
  <cols>
    <col min="1" max="1" width="1.7109375" style="912" customWidth="1"/>
    <col min="2" max="2" width="30.28515625" style="912" customWidth="1"/>
    <col min="3" max="3" width="9.42578125" style="912" customWidth="1"/>
    <col min="4" max="4" width="13.140625" style="912" customWidth="1"/>
    <col min="5" max="5" width="15.42578125" style="912" customWidth="1"/>
    <col min="6" max="6" width="14.42578125" style="912" customWidth="1"/>
    <col min="7" max="7" width="6.7109375" style="912" customWidth="1"/>
    <col min="8" max="8" width="8.7109375" style="912" customWidth="1"/>
    <col min="9" max="9" width="9.42578125" style="912" customWidth="1"/>
    <col min="10" max="10" width="10.7109375" style="912" customWidth="1"/>
    <col min="11" max="11" width="14.7109375" style="912" customWidth="1"/>
    <col min="12" max="12" width="21.140625" style="912" customWidth="1"/>
    <col min="13" max="13" width="11.28515625" style="912" customWidth="1"/>
    <col min="14" max="14" width="20.28515625" style="912" customWidth="1"/>
    <col min="15" max="15" width="12.85546875" style="912" customWidth="1"/>
    <col min="16" max="16" width="13.42578125" style="912" customWidth="1"/>
    <col min="17" max="17" width="13" style="912" customWidth="1"/>
    <col min="18" max="18" width="20.7109375" style="912" customWidth="1"/>
    <col min="19" max="19" width="20.28515625" style="912" customWidth="1"/>
    <col min="20" max="20" width="1.7109375" style="912" customWidth="1"/>
    <col min="21" max="21" width="20.85546875" style="912" customWidth="1"/>
    <col min="22" max="16384" width="11.42578125" style="912" hidden="1"/>
  </cols>
  <sheetData>
    <row r="1" spans="2:21" ht="35.1" customHeight="1">
      <c r="B1" s="1131" t="s">
        <v>524</v>
      </c>
      <c r="C1" s="1131"/>
      <c r="D1" s="1131"/>
      <c r="E1" s="1131"/>
      <c r="F1" s="1131"/>
      <c r="G1" s="1131"/>
      <c r="H1" s="1131"/>
      <c r="I1" s="1131"/>
      <c r="J1" s="1131"/>
      <c r="K1" s="1131"/>
      <c r="L1" s="1131"/>
      <c r="M1" s="1131"/>
      <c r="N1" s="1170"/>
      <c r="O1" s="1170"/>
      <c r="P1" s="1170"/>
      <c r="Q1" s="1170"/>
      <c r="R1" s="1170"/>
      <c r="S1" s="1170"/>
      <c r="U1" s="913" t="s">
        <v>269</v>
      </c>
    </row>
    <row r="2" spans="2:21" ht="15">
      <c r="B2" s="915" t="s">
        <v>460</v>
      </c>
      <c r="C2" s="915"/>
      <c r="D2" s="915"/>
      <c r="E2" s="915"/>
      <c r="F2" s="1155" t="s">
        <v>573</v>
      </c>
      <c r="G2" s="1155"/>
      <c r="H2" s="1155"/>
      <c r="I2" s="1155"/>
      <c r="J2" s="1155"/>
      <c r="K2" s="1092"/>
      <c r="L2" s="915"/>
      <c r="M2" s="915"/>
      <c r="N2" s="915"/>
      <c r="O2" s="915"/>
      <c r="P2" s="915"/>
      <c r="Q2" s="915"/>
      <c r="R2" s="915"/>
      <c r="S2" s="915"/>
      <c r="U2" s="913"/>
    </row>
    <row r="3" spans="2:21" ht="15">
      <c r="B3" s="1004" t="s">
        <v>525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  <c r="O3" s="1004"/>
      <c r="P3" s="1004"/>
      <c r="Q3" s="1004"/>
      <c r="R3" s="1004"/>
      <c r="S3" s="1004"/>
      <c r="U3" s="913"/>
    </row>
    <row r="4" spans="2:21" ht="15">
      <c r="B4" s="1075"/>
      <c r="C4" s="1075"/>
      <c r="D4" s="1075"/>
      <c r="E4" s="1075"/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5"/>
      <c r="R4" s="1075"/>
      <c r="S4" s="915"/>
      <c r="U4" s="913"/>
    </row>
    <row r="5" spans="2:21" ht="14.65" customHeight="1">
      <c r="B5" s="1075" t="s">
        <v>559</v>
      </c>
      <c r="C5" s="1176" t="s">
        <v>560</v>
      </c>
      <c r="D5" s="1176"/>
      <c r="E5" s="1176"/>
      <c r="F5" s="1176"/>
      <c r="G5" s="1176"/>
      <c r="H5" s="1176"/>
      <c r="I5" s="1176"/>
      <c r="J5" s="1176"/>
      <c r="K5" s="1176"/>
      <c r="L5" s="1176"/>
      <c r="M5" s="1176"/>
      <c r="N5" s="1176"/>
      <c r="O5" s="1176"/>
      <c r="P5" s="1176"/>
      <c r="Q5" s="1176"/>
      <c r="R5" s="1176"/>
      <c r="S5" s="1176"/>
      <c r="U5" s="913"/>
    </row>
    <row r="6" spans="2:21" s="1053" customFormat="1" ht="15">
      <c r="B6" s="1075" t="s">
        <v>565</v>
      </c>
      <c r="C6" s="1318" t="s">
        <v>561</v>
      </c>
      <c r="D6" s="1318"/>
      <c r="E6" s="1318"/>
      <c r="F6" s="1318"/>
      <c r="G6" s="1318"/>
      <c r="H6" s="1318"/>
      <c r="I6" s="1318"/>
      <c r="J6" s="1318"/>
      <c r="K6" s="1318"/>
      <c r="L6" s="1318"/>
      <c r="M6" s="1318"/>
      <c r="N6" s="1318"/>
      <c r="O6" s="1318"/>
      <c r="P6" s="1318"/>
      <c r="Q6" s="1318"/>
      <c r="R6" s="1318"/>
      <c r="S6" s="1318"/>
      <c r="U6" s="913"/>
    </row>
    <row r="7" spans="2:21" s="1053" customFormat="1" ht="15">
      <c r="B7" s="1075" t="s">
        <v>564</v>
      </c>
      <c r="C7" s="1318" t="s">
        <v>562</v>
      </c>
      <c r="D7" s="1318"/>
      <c r="E7" s="1318"/>
      <c r="F7" s="1318"/>
      <c r="G7" s="1318"/>
      <c r="H7" s="1318"/>
      <c r="I7" s="1318"/>
      <c r="J7" s="1318"/>
      <c r="K7" s="1318"/>
      <c r="L7" s="1318"/>
      <c r="M7" s="1318"/>
      <c r="N7" s="1318"/>
      <c r="O7" s="1318"/>
      <c r="P7" s="1318"/>
      <c r="Q7" s="1318"/>
      <c r="R7" s="1318"/>
      <c r="S7" s="1318"/>
      <c r="U7" s="913"/>
    </row>
    <row r="8" spans="2:21" ht="15" customHeight="1">
      <c r="B8" s="916"/>
      <c r="D8" s="916"/>
      <c r="E8" s="916"/>
      <c r="F8" s="916"/>
      <c r="G8" s="916"/>
      <c r="H8" s="916"/>
      <c r="I8" s="916"/>
      <c r="J8" s="916"/>
      <c r="K8" s="916"/>
      <c r="L8" s="916"/>
      <c r="M8" s="916"/>
      <c r="S8" s="983" t="s">
        <v>314</v>
      </c>
    </row>
    <row r="9" spans="2:21" ht="15">
      <c r="B9" s="886" t="s">
        <v>75</v>
      </c>
      <c r="C9" s="1293" t="str">
        <f>Mandantendaten!C3</f>
        <v>Max Mustermann</v>
      </c>
      <c r="D9" s="1293"/>
      <c r="E9" s="1293"/>
      <c r="F9" s="886"/>
      <c r="G9" s="886"/>
      <c r="H9" s="886"/>
      <c r="I9" s="886"/>
      <c r="J9" s="886"/>
      <c r="K9" s="886"/>
      <c r="L9" s="886"/>
      <c r="M9" s="886"/>
      <c r="N9" s="886"/>
      <c r="O9" s="984"/>
      <c r="P9" s="984"/>
      <c r="Q9" s="984"/>
      <c r="R9" s="984"/>
      <c r="S9" s="899">
        <f>Mandantendaten!C5</f>
        <v>44561</v>
      </c>
    </row>
    <row r="10" spans="2:21" s="1053" customFormat="1" ht="15">
      <c r="B10" s="1052"/>
      <c r="C10" s="1064"/>
      <c r="D10" s="1064"/>
      <c r="E10" s="1064"/>
      <c r="F10" s="1052"/>
      <c r="G10" s="1052"/>
      <c r="H10" s="1052"/>
      <c r="I10" s="1052"/>
      <c r="J10" s="1052"/>
      <c r="K10" s="1052"/>
      <c r="L10" s="1052"/>
      <c r="M10" s="1052"/>
      <c r="N10" s="1052"/>
      <c r="O10" s="1054"/>
      <c r="P10" s="1054"/>
      <c r="Q10" s="1054"/>
      <c r="R10" s="1054"/>
      <c r="S10" s="1066"/>
    </row>
    <row r="11" spans="2:21" s="1053" customFormat="1" ht="45">
      <c r="B11" s="1061"/>
      <c r="C11" s="1061"/>
      <c r="D11" s="1294" t="s">
        <v>528</v>
      </c>
      <c r="E11" s="1290" t="s">
        <v>527</v>
      </c>
      <c r="F11" s="870" t="s">
        <v>526</v>
      </c>
      <c r="G11" s="1299" t="s">
        <v>483</v>
      </c>
      <c r="H11" s="1304"/>
      <c r="I11" s="1304"/>
      <c r="J11" s="1301"/>
      <c r="K11" s="1297" t="s">
        <v>470</v>
      </c>
      <c r="L11" s="1301" t="s">
        <v>529</v>
      </c>
      <c r="M11" s="1299" t="s">
        <v>530</v>
      </c>
      <c r="N11" s="1220" t="s">
        <v>531</v>
      </c>
      <c r="O11" s="870" t="s">
        <v>526</v>
      </c>
      <c r="P11" s="1290" t="s">
        <v>474</v>
      </c>
      <c r="Q11" s="1041" t="s">
        <v>468</v>
      </c>
      <c r="R11" s="1065" t="s">
        <v>471</v>
      </c>
      <c r="S11" s="1065" t="s">
        <v>479</v>
      </c>
    </row>
    <row r="12" spans="2:21" s="1053" customFormat="1" ht="30">
      <c r="B12" s="1043" t="s">
        <v>555</v>
      </c>
      <c r="C12" s="797">
        <f>YEAR($S$9)-4</f>
        <v>2017</v>
      </c>
      <c r="D12" s="1295"/>
      <c r="E12" s="1296"/>
      <c r="F12" s="871">
        <f>IF(C12&gt;2019,0.5,0.4)</f>
        <v>0.4</v>
      </c>
      <c r="G12" s="872" t="s">
        <v>480</v>
      </c>
      <c r="H12" s="811">
        <f>YEAR($S$9)</f>
        <v>2021</v>
      </c>
      <c r="I12" s="810" t="s">
        <v>481</v>
      </c>
      <c r="J12" s="811">
        <f>YEAR($S$9)</f>
        <v>2021</v>
      </c>
      <c r="K12" s="1298"/>
      <c r="L12" s="1302"/>
      <c r="M12" s="1300"/>
      <c r="N12" s="1292"/>
      <c r="O12" s="873">
        <f>IF(C12&gt;2019,0.5,0.4)</f>
        <v>0.4</v>
      </c>
      <c r="P12" s="1291"/>
      <c r="Q12" s="807"/>
      <c r="R12" s="808">
        <f>$S$9</f>
        <v>44561</v>
      </c>
      <c r="S12" s="1005">
        <f>IF(C12=2017,C12+5,IF(C12=2018,C12+4,C12+3))</f>
        <v>2022</v>
      </c>
    </row>
    <row r="13" spans="2:21" s="1053" customFormat="1" ht="15">
      <c r="B13" s="1029" t="s">
        <v>478</v>
      </c>
      <c r="C13" s="1006"/>
      <c r="D13" s="1032">
        <v>10000</v>
      </c>
      <c r="E13" s="1032">
        <v>4000</v>
      </c>
      <c r="F13" s="1007">
        <f>D13*$F$19</f>
        <v>4000</v>
      </c>
      <c r="G13" s="1306">
        <v>500</v>
      </c>
      <c r="H13" s="1306"/>
      <c r="I13" s="1306">
        <v>100</v>
      </c>
      <c r="J13" s="1306"/>
      <c r="K13" s="1035"/>
      <c r="L13" s="1036" t="s">
        <v>466</v>
      </c>
      <c r="M13" s="1032">
        <v>8000</v>
      </c>
      <c r="N13" s="1059">
        <v>3200</v>
      </c>
      <c r="O13" s="1008">
        <f>IF(M13&gt;D13,D13*$O$19,M13*$O$19)</f>
        <v>3200</v>
      </c>
      <c r="P13" s="799">
        <v>2000</v>
      </c>
      <c r="Q13" s="1008">
        <f>N13</f>
        <v>3200</v>
      </c>
      <c r="R13" s="1008">
        <f>E13-G13-N13-I13</f>
        <v>200</v>
      </c>
      <c r="S13" s="1009">
        <f>R13</f>
        <v>200</v>
      </c>
    </row>
    <row r="14" spans="2:21" s="1053" customFormat="1" ht="15">
      <c r="B14" s="1030" t="s">
        <v>473</v>
      </c>
      <c r="C14" s="1010"/>
      <c r="D14" s="1062">
        <v>7500</v>
      </c>
      <c r="E14" s="1062">
        <v>2500</v>
      </c>
      <c r="F14" s="1011">
        <f>D14*$F$19</f>
        <v>3000</v>
      </c>
      <c r="G14" s="1303">
        <v>0</v>
      </c>
      <c r="H14" s="1303"/>
      <c r="I14" s="1303">
        <v>0</v>
      </c>
      <c r="J14" s="1303"/>
      <c r="K14" s="1037"/>
      <c r="L14" s="1038"/>
      <c r="M14" s="1062"/>
      <c r="N14" s="1055"/>
      <c r="O14" s="1012">
        <f>IF(M14&gt;D14,D14*$O$19,M14*$O$19)</f>
        <v>0</v>
      </c>
      <c r="P14" s="806"/>
      <c r="Q14" s="1012">
        <f>N14</f>
        <v>0</v>
      </c>
      <c r="R14" s="1012">
        <f t="shared" ref="R14:R16" si="0">E14-G14-N14-I14</f>
        <v>2500</v>
      </c>
      <c r="S14" s="1013">
        <f>R14</f>
        <v>2500</v>
      </c>
    </row>
    <row r="15" spans="2:21" s="1053" customFormat="1" ht="15">
      <c r="B15" s="1030" t="s">
        <v>477</v>
      </c>
      <c r="C15" s="1010"/>
      <c r="D15" s="1062">
        <v>5000</v>
      </c>
      <c r="E15" s="1062">
        <v>2000</v>
      </c>
      <c r="F15" s="1011">
        <f>D15*$F$19</f>
        <v>2000</v>
      </c>
      <c r="G15" s="1303">
        <v>100</v>
      </c>
      <c r="H15" s="1303"/>
      <c r="I15" s="1303">
        <v>0</v>
      </c>
      <c r="J15" s="1303"/>
      <c r="K15" s="1037"/>
      <c r="L15" s="1038" t="s">
        <v>475</v>
      </c>
      <c r="M15" s="1062">
        <v>1500</v>
      </c>
      <c r="N15" s="1055">
        <v>500</v>
      </c>
      <c r="O15" s="1012">
        <f>IF(M15&gt;D15,D15*$O$19,M15*$O$19)</f>
        <v>600</v>
      </c>
      <c r="P15" s="806">
        <v>500</v>
      </c>
      <c r="Q15" s="1012">
        <f t="shared" ref="Q15:Q16" si="1">N15</f>
        <v>500</v>
      </c>
      <c r="R15" s="1012">
        <f t="shared" si="0"/>
        <v>1400</v>
      </c>
      <c r="S15" s="1013">
        <f t="shared" ref="S15:S16" si="2">R15</f>
        <v>1400</v>
      </c>
    </row>
    <row r="16" spans="2:21" s="1053" customFormat="1" ht="15">
      <c r="B16" s="1031"/>
      <c r="C16" s="1014"/>
      <c r="D16" s="1063"/>
      <c r="E16" s="1063"/>
      <c r="F16" s="1015">
        <f>D16*$F$19</f>
        <v>0</v>
      </c>
      <c r="G16" s="1305"/>
      <c r="H16" s="1305"/>
      <c r="I16" s="1305"/>
      <c r="J16" s="1305"/>
      <c r="K16" s="1039"/>
      <c r="L16" s="1040"/>
      <c r="M16" s="1063"/>
      <c r="N16" s="1056"/>
      <c r="O16" s="1016">
        <f>IF(M16&gt;D16,D16*$O$19,M16*$O$19)</f>
        <v>0</v>
      </c>
      <c r="P16" s="809"/>
      <c r="Q16" s="1016">
        <f t="shared" si="1"/>
        <v>0</v>
      </c>
      <c r="R16" s="1016">
        <f t="shared" si="0"/>
        <v>0</v>
      </c>
      <c r="S16" s="1017">
        <f t="shared" si="2"/>
        <v>0</v>
      </c>
    </row>
    <row r="17" spans="2:19" s="1053" customFormat="1" ht="15">
      <c r="B17" s="1052"/>
      <c r="C17" s="1064"/>
      <c r="D17" s="1064"/>
      <c r="E17" s="1064"/>
      <c r="F17" s="1052"/>
      <c r="G17" s="1052"/>
      <c r="H17" s="1052"/>
      <c r="I17" s="1052"/>
      <c r="J17" s="1052"/>
      <c r="K17" s="1052"/>
      <c r="L17" s="1052"/>
      <c r="M17" s="1052"/>
      <c r="N17" s="1052"/>
      <c r="O17" s="1054"/>
      <c r="P17" s="1054"/>
      <c r="Q17" s="1054"/>
      <c r="R17" s="1054"/>
      <c r="S17" s="1066"/>
    </row>
    <row r="18" spans="2:19" ht="45">
      <c r="B18" s="897"/>
      <c r="C18" s="897"/>
      <c r="D18" s="1294" t="s">
        <v>528</v>
      </c>
      <c r="E18" s="1290" t="s">
        <v>527</v>
      </c>
      <c r="F18" s="870" t="s">
        <v>526</v>
      </c>
      <c r="G18" s="1299" t="s">
        <v>483</v>
      </c>
      <c r="H18" s="1304"/>
      <c r="I18" s="1304"/>
      <c r="J18" s="1301"/>
      <c r="K18" s="1297" t="s">
        <v>470</v>
      </c>
      <c r="L18" s="1301" t="s">
        <v>529</v>
      </c>
      <c r="M18" s="1299" t="s">
        <v>530</v>
      </c>
      <c r="N18" s="1220" t="s">
        <v>531</v>
      </c>
      <c r="O18" s="870" t="s">
        <v>526</v>
      </c>
      <c r="P18" s="1290" t="s">
        <v>474</v>
      </c>
      <c r="Q18" s="1041" t="s">
        <v>468</v>
      </c>
      <c r="R18" s="898" t="s">
        <v>471</v>
      </c>
      <c r="S18" s="898" t="s">
        <v>479</v>
      </c>
    </row>
    <row r="19" spans="2:19" ht="32.25" customHeight="1">
      <c r="B19" s="1043" t="s">
        <v>555</v>
      </c>
      <c r="C19" s="797">
        <f>YEAR($S$9)-3</f>
        <v>2018</v>
      </c>
      <c r="D19" s="1295"/>
      <c r="E19" s="1296"/>
      <c r="F19" s="871">
        <f>IF(C19&gt;2019,0.5,0.4)</f>
        <v>0.4</v>
      </c>
      <c r="G19" s="872" t="s">
        <v>480</v>
      </c>
      <c r="H19" s="811">
        <f>YEAR($S$9)</f>
        <v>2021</v>
      </c>
      <c r="I19" s="810" t="s">
        <v>481</v>
      </c>
      <c r="J19" s="811">
        <f>YEAR($S$9)</f>
        <v>2021</v>
      </c>
      <c r="K19" s="1298"/>
      <c r="L19" s="1302"/>
      <c r="M19" s="1300"/>
      <c r="N19" s="1292"/>
      <c r="O19" s="873">
        <f>IF(C19&gt;2019,0.5,0.4)</f>
        <v>0.4</v>
      </c>
      <c r="P19" s="1291"/>
      <c r="Q19" s="807"/>
      <c r="R19" s="808">
        <f>$S$9</f>
        <v>44561</v>
      </c>
      <c r="S19" s="1005">
        <f>IF(C19=2017,C19+5,IF(C19=2018,C19+4,C19+3))</f>
        <v>2022</v>
      </c>
    </row>
    <row r="20" spans="2:19" ht="14.65" customHeight="1">
      <c r="B20" s="1029" t="s">
        <v>478</v>
      </c>
      <c r="C20" s="1006"/>
      <c r="D20" s="1032">
        <v>10000</v>
      </c>
      <c r="E20" s="1032">
        <v>4000</v>
      </c>
      <c r="F20" s="1007">
        <f>D20*$F$19</f>
        <v>4000</v>
      </c>
      <c r="G20" s="1306">
        <v>500</v>
      </c>
      <c r="H20" s="1306"/>
      <c r="I20" s="1306">
        <v>100</v>
      </c>
      <c r="J20" s="1306"/>
      <c r="K20" s="1035"/>
      <c r="L20" s="1036" t="s">
        <v>466</v>
      </c>
      <c r="M20" s="1032">
        <v>8000</v>
      </c>
      <c r="N20" s="895">
        <v>3200</v>
      </c>
      <c r="O20" s="1008">
        <f>IF(M20&gt;D20,D20*$O$19,M20*$O$19)</f>
        <v>3200</v>
      </c>
      <c r="P20" s="799">
        <v>2000</v>
      </c>
      <c r="Q20" s="1008">
        <f>N20</f>
        <v>3200</v>
      </c>
      <c r="R20" s="1008">
        <f>E20-G20-N20-I20</f>
        <v>200</v>
      </c>
      <c r="S20" s="1009">
        <f>R20</f>
        <v>200</v>
      </c>
    </row>
    <row r="21" spans="2:19" ht="14.65" customHeight="1">
      <c r="B21" s="1030" t="s">
        <v>473</v>
      </c>
      <c r="C21" s="1010"/>
      <c r="D21" s="1033">
        <v>7500</v>
      </c>
      <c r="E21" s="1033">
        <v>2500</v>
      </c>
      <c r="F21" s="1011">
        <f>D21*$F$19</f>
        <v>3000</v>
      </c>
      <c r="G21" s="1303">
        <v>0</v>
      </c>
      <c r="H21" s="1303"/>
      <c r="I21" s="1303">
        <v>0</v>
      </c>
      <c r="J21" s="1303"/>
      <c r="K21" s="1037"/>
      <c r="L21" s="1038"/>
      <c r="M21" s="1033"/>
      <c r="N21" s="892"/>
      <c r="O21" s="1012">
        <f>IF(M21&gt;D21,D21*$O$19,M21*$O$19)</f>
        <v>0</v>
      </c>
      <c r="P21" s="806"/>
      <c r="Q21" s="1012">
        <f>N21</f>
        <v>0</v>
      </c>
      <c r="R21" s="1012">
        <f t="shared" ref="R21:R23" si="3">E21-G21-N21-I21</f>
        <v>2500</v>
      </c>
      <c r="S21" s="1013">
        <f>R21</f>
        <v>2500</v>
      </c>
    </row>
    <row r="22" spans="2:19" ht="14.65" customHeight="1">
      <c r="B22" s="1030" t="s">
        <v>477</v>
      </c>
      <c r="C22" s="1010"/>
      <c r="D22" s="1033">
        <v>5000</v>
      </c>
      <c r="E22" s="1033">
        <v>2000</v>
      </c>
      <c r="F22" s="1011">
        <f t="shared" ref="F22:F23" si="4">D22*$F$19</f>
        <v>2000</v>
      </c>
      <c r="G22" s="1303">
        <v>100</v>
      </c>
      <c r="H22" s="1303"/>
      <c r="I22" s="1303">
        <v>0</v>
      </c>
      <c r="J22" s="1303"/>
      <c r="K22" s="1037"/>
      <c r="L22" s="1038" t="s">
        <v>475</v>
      </c>
      <c r="M22" s="1033">
        <v>1500</v>
      </c>
      <c r="N22" s="892">
        <v>500</v>
      </c>
      <c r="O22" s="1012">
        <f t="shared" ref="O22:O23" si="5">IF(M22&gt;D22,D22*$O$19,M22*$O$19)</f>
        <v>600</v>
      </c>
      <c r="P22" s="806">
        <v>500</v>
      </c>
      <c r="Q22" s="1012">
        <f t="shared" ref="Q22:Q23" si="6">N22</f>
        <v>500</v>
      </c>
      <c r="R22" s="1012">
        <f t="shared" si="3"/>
        <v>1400</v>
      </c>
      <c r="S22" s="1013">
        <f t="shared" ref="S22:S23" si="7">R22</f>
        <v>1400</v>
      </c>
    </row>
    <row r="23" spans="2:19" ht="14.65" customHeight="1">
      <c r="B23" s="1031"/>
      <c r="C23" s="1014"/>
      <c r="D23" s="1034"/>
      <c r="E23" s="1034"/>
      <c r="F23" s="1015">
        <f t="shared" si="4"/>
        <v>0</v>
      </c>
      <c r="G23" s="1305"/>
      <c r="H23" s="1305"/>
      <c r="I23" s="1305"/>
      <c r="J23" s="1305"/>
      <c r="K23" s="1039"/>
      <c r="L23" s="1040"/>
      <c r="M23" s="1034"/>
      <c r="N23" s="893"/>
      <c r="O23" s="1016">
        <f t="shared" si="5"/>
        <v>0</v>
      </c>
      <c r="P23" s="809"/>
      <c r="Q23" s="1016">
        <f t="shared" si="6"/>
        <v>0</v>
      </c>
      <c r="R23" s="1016">
        <f t="shared" si="3"/>
        <v>0</v>
      </c>
      <c r="S23" s="1017">
        <f t="shared" si="7"/>
        <v>0</v>
      </c>
    </row>
    <row r="24" spans="2:19" ht="14.65" customHeight="1"/>
    <row r="25" spans="2:19" ht="57" customHeight="1">
      <c r="B25" s="897"/>
      <c r="C25" s="897"/>
      <c r="D25" s="1294" t="s">
        <v>469</v>
      </c>
      <c r="E25" s="1290" t="s">
        <v>482</v>
      </c>
      <c r="F25" s="870" t="s">
        <v>526</v>
      </c>
      <c r="G25" s="1299" t="s">
        <v>483</v>
      </c>
      <c r="H25" s="1304"/>
      <c r="I25" s="1304"/>
      <c r="J25" s="1301"/>
      <c r="K25" s="1297" t="s">
        <v>470</v>
      </c>
      <c r="L25" s="1301" t="s">
        <v>472</v>
      </c>
      <c r="M25" s="1299" t="s">
        <v>476</v>
      </c>
      <c r="N25" s="1220" t="s">
        <v>547</v>
      </c>
      <c r="O25" s="870" t="s">
        <v>546</v>
      </c>
      <c r="P25" s="1290" t="s">
        <v>474</v>
      </c>
      <c r="Q25" s="1041" t="s">
        <v>468</v>
      </c>
      <c r="R25" s="898" t="s">
        <v>471</v>
      </c>
      <c r="S25" s="898" t="s">
        <v>479</v>
      </c>
    </row>
    <row r="26" spans="2:19" ht="33" customHeight="1">
      <c r="B26" s="1043" t="s">
        <v>555</v>
      </c>
      <c r="C26" s="797">
        <f>YEAR($S$9)-2</f>
        <v>2019</v>
      </c>
      <c r="D26" s="1295"/>
      <c r="E26" s="1296"/>
      <c r="F26" s="871">
        <f>IF(C26&gt;2019,0.5,0.4)</f>
        <v>0.4</v>
      </c>
      <c r="G26" s="872" t="s">
        <v>480</v>
      </c>
      <c r="H26" s="811">
        <f>YEAR($S$9)</f>
        <v>2021</v>
      </c>
      <c r="I26" s="810" t="s">
        <v>481</v>
      </c>
      <c r="J26" s="811">
        <f>YEAR($S$9)</f>
        <v>2021</v>
      </c>
      <c r="K26" s="1298"/>
      <c r="L26" s="1302"/>
      <c r="M26" s="1300"/>
      <c r="N26" s="1292"/>
      <c r="O26" s="873">
        <f>IF(C26&gt;2019,0.5,0.4)</f>
        <v>0.4</v>
      </c>
      <c r="P26" s="1291"/>
      <c r="Q26" s="807"/>
      <c r="R26" s="808">
        <f>$S$9</f>
        <v>44561</v>
      </c>
      <c r="S26" s="1005">
        <f>IF(C26=2017,C26+5,IF(C26=2018,C26+4,C26+3))</f>
        <v>2022</v>
      </c>
    </row>
    <row r="27" spans="2:19" ht="14.65" customHeight="1">
      <c r="B27" s="1029" t="s">
        <v>478</v>
      </c>
      <c r="C27" s="1006"/>
      <c r="D27" s="1032">
        <v>10000</v>
      </c>
      <c r="E27" s="1032">
        <v>4000</v>
      </c>
      <c r="F27" s="1007">
        <f>D27*$F$19</f>
        <v>4000</v>
      </c>
      <c r="G27" s="1306">
        <v>500</v>
      </c>
      <c r="H27" s="1306"/>
      <c r="I27" s="1306">
        <v>100</v>
      </c>
      <c r="J27" s="1306"/>
      <c r="K27" s="1035"/>
      <c r="L27" s="1036" t="s">
        <v>466</v>
      </c>
      <c r="M27" s="1032">
        <v>8000</v>
      </c>
      <c r="N27" s="895">
        <v>3200</v>
      </c>
      <c r="O27" s="1008">
        <f>IF(M27&gt;D27,D27*$O$19,M27*$O$19)</f>
        <v>3200</v>
      </c>
      <c r="P27" s="799">
        <v>2000</v>
      </c>
      <c r="Q27" s="1008">
        <f>N27</f>
        <v>3200</v>
      </c>
      <c r="R27" s="1008">
        <f>E27-G27-N27-I27</f>
        <v>200</v>
      </c>
      <c r="S27" s="1009">
        <f>R27</f>
        <v>200</v>
      </c>
    </row>
    <row r="28" spans="2:19" ht="14.65" customHeight="1">
      <c r="B28" s="1030" t="s">
        <v>473</v>
      </c>
      <c r="C28" s="1010"/>
      <c r="D28" s="1033">
        <v>7500</v>
      </c>
      <c r="E28" s="1033">
        <v>2500</v>
      </c>
      <c r="F28" s="1011">
        <f>D28*$F$19</f>
        <v>3000</v>
      </c>
      <c r="G28" s="1303">
        <v>0</v>
      </c>
      <c r="H28" s="1303"/>
      <c r="I28" s="1303">
        <v>0</v>
      </c>
      <c r="J28" s="1303"/>
      <c r="K28" s="1037"/>
      <c r="L28" s="1038"/>
      <c r="M28" s="1033"/>
      <c r="N28" s="892"/>
      <c r="O28" s="1012">
        <f>IF(M28&gt;D28,D28*$O$19,M28*$O$19)</f>
        <v>0</v>
      </c>
      <c r="P28" s="806"/>
      <c r="Q28" s="1012">
        <f>N28</f>
        <v>0</v>
      </c>
      <c r="R28" s="1012">
        <f t="shared" ref="R28:R30" si="8">E28-G28-N28-I28</f>
        <v>2500</v>
      </c>
      <c r="S28" s="1013">
        <f>R28</f>
        <v>2500</v>
      </c>
    </row>
    <row r="29" spans="2:19" ht="14.65" customHeight="1">
      <c r="B29" s="1030" t="s">
        <v>477</v>
      </c>
      <c r="C29" s="1010"/>
      <c r="D29" s="1033">
        <v>5000</v>
      </c>
      <c r="E29" s="1033">
        <v>2000</v>
      </c>
      <c r="F29" s="1011">
        <f t="shared" ref="F29:F30" si="9">D29*$F$19</f>
        <v>2000</v>
      </c>
      <c r="G29" s="1303">
        <v>100</v>
      </c>
      <c r="H29" s="1303"/>
      <c r="I29" s="1303">
        <v>0</v>
      </c>
      <c r="J29" s="1303"/>
      <c r="K29" s="1037"/>
      <c r="L29" s="1038" t="s">
        <v>475</v>
      </c>
      <c r="M29" s="1033">
        <v>1500</v>
      </c>
      <c r="N29" s="892">
        <v>500</v>
      </c>
      <c r="O29" s="1012">
        <f t="shared" ref="O29:O30" si="10">IF(M29&gt;D29,D29*$O$19,M29*$O$19)</f>
        <v>600</v>
      </c>
      <c r="P29" s="806">
        <v>500</v>
      </c>
      <c r="Q29" s="1012">
        <f t="shared" ref="Q29:Q30" si="11">N29</f>
        <v>500</v>
      </c>
      <c r="R29" s="1012">
        <f t="shared" si="8"/>
        <v>1400</v>
      </c>
      <c r="S29" s="1013">
        <f t="shared" ref="S29:S30" si="12">R29</f>
        <v>1400</v>
      </c>
    </row>
    <row r="30" spans="2:19" ht="14.65" customHeight="1">
      <c r="B30" s="1031"/>
      <c r="C30" s="1014"/>
      <c r="D30" s="1034"/>
      <c r="E30" s="1034"/>
      <c r="F30" s="1015">
        <f t="shared" si="9"/>
        <v>0</v>
      </c>
      <c r="G30" s="1305"/>
      <c r="H30" s="1305"/>
      <c r="I30" s="1305"/>
      <c r="J30" s="1305"/>
      <c r="K30" s="1039"/>
      <c r="L30" s="1040"/>
      <c r="M30" s="1034"/>
      <c r="N30" s="893"/>
      <c r="O30" s="1016">
        <f t="shared" si="10"/>
        <v>0</v>
      </c>
      <c r="P30" s="809"/>
      <c r="Q30" s="1016">
        <f t="shared" si="11"/>
        <v>0</v>
      </c>
      <c r="R30" s="1016">
        <f t="shared" si="8"/>
        <v>0</v>
      </c>
      <c r="S30" s="1017">
        <f t="shared" si="12"/>
        <v>0</v>
      </c>
    </row>
    <row r="31" spans="2:19" ht="14.65" customHeight="1"/>
    <row r="32" spans="2:19" ht="72" customHeight="1">
      <c r="B32" s="897"/>
      <c r="C32" s="897"/>
      <c r="D32" s="1294" t="s">
        <v>469</v>
      </c>
      <c r="E32" s="1290" t="s">
        <v>482</v>
      </c>
      <c r="F32" s="870" t="s">
        <v>526</v>
      </c>
      <c r="G32" s="1299" t="s">
        <v>483</v>
      </c>
      <c r="H32" s="1304"/>
      <c r="I32" s="1304"/>
      <c r="J32" s="1301"/>
      <c r="K32" s="1297" t="s">
        <v>470</v>
      </c>
      <c r="L32" s="1301" t="s">
        <v>472</v>
      </c>
      <c r="M32" s="1299" t="s">
        <v>476</v>
      </c>
      <c r="N32" s="1220" t="s">
        <v>547</v>
      </c>
      <c r="O32" s="870" t="s">
        <v>546</v>
      </c>
      <c r="P32" s="1290" t="s">
        <v>474</v>
      </c>
      <c r="Q32" s="1041" t="s">
        <v>468</v>
      </c>
      <c r="R32" s="898" t="s">
        <v>471</v>
      </c>
      <c r="S32" s="898" t="s">
        <v>479</v>
      </c>
    </row>
    <row r="33" spans="2:19" ht="34.5" customHeight="1">
      <c r="B33" s="1043" t="s">
        <v>555</v>
      </c>
      <c r="C33" s="797">
        <f>YEAR($S$9)-1</f>
        <v>2020</v>
      </c>
      <c r="D33" s="1295"/>
      <c r="E33" s="1296"/>
      <c r="F33" s="871">
        <f>IF(C33&gt;2019,0.5,0.4)</f>
        <v>0.5</v>
      </c>
      <c r="G33" s="872" t="s">
        <v>480</v>
      </c>
      <c r="H33" s="811">
        <f>YEAR($S$9)</f>
        <v>2021</v>
      </c>
      <c r="I33" s="810" t="s">
        <v>481</v>
      </c>
      <c r="J33" s="811">
        <f>YEAR($S$9)</f>
        <v>2021</v>
      </c>
      <c r="K33" s="1298"/>
      <c r="L33" s="1302"/>
      <c r="M33" s="1300"/>
      <c r="N33" s="1292"/>
      <c r="O33" s="873">
        <f>IF(C33&gt;2019,0.5,0.4)</f>
        <v>0.5</v>
      </c>
      <c r="P33" s="1291"/>
      <c r="Q33" s="807"/>
      <c r="R33" s="808">
        <f>$S$9</f>
        <v>44561</v>
      </c>
      <c r="S33" s="1005">
        <f>IF(C33=2017,C33+5,IF(C33=2018,C33+4,C33+3))</f>
        <v>2023</v>
      </c>
    </row>
    <row r="34" spans="2:19" ht="14.65" customHeight="1">
      <c r="B34" s="1029" t="s">
        <v>478</v>
      </c>
      <c r="C34" s="1006"/>
      <c r="D34" s="1032">
        <v>10000</v>
      </c>
      <c r="E34" s="1032">
        <v>4000</v>
      </c>
      <c r="F34" s="1007">
        <f>D34*$F$19</f>
        <v>4000</v>
      </c>
      <c r="G34" s="1306">
        <v>500</v>
      </c>
      <c r="H34" s="1306"/>
      <c r="I34" s="1306">
        <v>100</v>
      </c>
      <c r="J34" s="1306"/>
      <c r="K34" s="1035"/>
      <c r="L34" s="1036" t="s">
        <v>466</v>
      </c>
      <c r="M34" s="1032">
        <v>8000</v>
      </c>
      <c r="N34" s="895">
        <v>3200</v>
      </c>
      <c r="O34" s="1008">
        <f>IF(M34&gt;D34,D34*$O$19,M34*$O$19)</f>
        <v>3200</v>
      </c>
      <c r="P34" s="799">
        <v>2000</v>
      </c>
      <c r="Q34" s="1008">
        <f>N34</f>
        <v>3200</v>
      </c>
      <c r="R34" s="1008">
        <f>E34-G34-N34-I34</f>
        <v>200</v>
      </c>
      <c r="S34" s="1009">
        <f>R34</f>
        <v>200</v>
      </c>
    </row>
    <row r="35" spans="2:19" ht="14.65" customHeight="1">
      <c r="B35" s="1030" t="s">
        <v>473</v>
      </c>
      <c r="C35" s="1010"/>
      <c r="D35" s="1033">
        <v>7500</v>
      </c>
      <c r="E35" s="1033">
        <v>2500</v>
      </c>
      <c r="F35" s="1011">
        <f>D35*$F$19</f>
        <v>3000</v>
      </c>
      <c r="G35" s="1303">
        <v>0</v>
      </c>
      <c r="H35" s="1303"/>
      <c r="I35" s="1303">
        <v>0</v>
      </c>
      <c r="J35" s="1303"/>
      <c r="K35" s="1037"/>
      <c r="L35" s="1038"/>
      <c r="M35" s="1033"/>
      <c r="N35" s="892"/>
      <c r="O35" s="1012">
        <f>IF(M35&gt;D35,D35*$O$19,M35*$O$19)</f>
        <v>0</v>
      </c>
      <c r="P35" s="806"/>
      <c r="Q35" s="1012">
        <f>N35</f>
        <v>0</v>
      </c>
      <c r="R35" s="1012">
        <f t="shared" ref="R35:R37" si="13">E35-G35-N35-I35</f>
        <v>2500</v>
      </c>
      <c r="S35" s="1013">
        <f>R35</f>
        <v>2500</v>
      </c>
    </row>
    <row r="36" spans="2:19" ht="14.65" customHeight="1">
      <c r="B36" s="1030" t="s">
        <v>477</v>
      </c>
      <c r="C36" s="1010"/>
      <c r="D36" s="1033">
        <v>5000</v>
      </c>
      <c r="E36" s="1033">
        <v>2000</v>
      </c>
      <c r="F36" s="1011">
        <f t="shared" ref="F36:F37" si="14">D36*$F$19</f>
        <v>2000</v>
      </c>
      <c r="G36" s="1303">
        <v>100</v>
      </c>
      <c r="H36" s="1303"/>
      <c r="I36" s="1303">
        <v>0</v>
      </c>
      <c r="J36" s="1303"/>
      <c r="K36" s="1037"/>
      <c r="L36" s="1038" t="s">
        <v>475</v>
      </c>
      <c r="M36" s="1033">
        <v>1500</v>
      </c>
      <c r="N36" s="892">
        <v>500</v>
      </c>
      <c r="O36" s="1012">
        <f t="shared" ref="O36:O37" si="15">IF(M36&gt;D36,D36*$O$19,M36*$O$19)</f>
        <v>600</v>
      </c>
      <c r="P36" s="806">
        <v>500</v>
      </c>
      <c r="Q36" s="1012">
        <f t="shared" ref="Q36:Q37" si="16">N36</f>
        <v>500</v>
      </c>
      <c r="R36" s="1012">
        <f t="shared" si="13"/>
        <v>1400</v>
      </c>
      <c r="S36" s="1013">
        <f t="shared" ref="S36:S37" si="17">R36</f>
        <v>1400</v>
      </c>
    </row>
    <row r="37" spans="2:19" ht="14.65" customHeight="1">
      <c r="B37" s="1031"/>
      <c r="C37" s="1014"/>
      <c r="D37" s="1034"/>
      <c r="E37" s="1034"/>
      <c r="F37" s="1015">
        <f t="shared" si="14"/>
        <v>0</v>
      </c>
      <c r="G37" s="1305"/>
      <c r="H37" s="1305"/>
      <c r="I37" s="1305"/>
      <c r="J37" s="1305"/>
      <c r="K37" s="1039"/>
      <c r="L37" s="1040"/>
      <c r="M37" s="1034"/>
      <c r="N37" s="893"/>
      <c r="O37" s="1016">
        <f t="shared" si="15"/>
        <v>0</v>
      </c>
      <c r="P37" s="809"/>
      <c r="Q37" s="1016">
        <f t="shared" si="16"/>
        <v>0</v>
      </c>
      <c r="R37" s="1016">
        <f t="shared" si="13"/>
        <v>0</v>
      </c>
      <c r="S37" s="1017">
        <f t="shared" si="17"/>
        <v>0</v>
      </c>
    </row>
    <row r="38" spans="2:19" ht="14.65" customHeight="1"/>
    <row r="39" spans="2:19" ht="69" customHeight="1">
      <c r="B39" s="897"/>
      <c r="C39" s="897"/>
      <c r="D39" s="1294" t="s">
        <v>469</v>
      </c>
      <c r="E39" s="1290" t="s">
        <v>482</v>
      </c>
      <c r="F39" s="870" t="s">
        <v>468</v>
      </c>
      <c r="G39" s="1304"/>
      <c r="H39" s="1304"/>
      <c r="I39" s="1304"/>
      <c r="J39" s="1304"/>
      <c r="K39" s="1304"/>
      <c r="L39" s="1304"/>
      <c r="M39" s="1304"/>
      <c r="N39" s="1304"/>
      <c r="O39" s="1304"/>
      <c r="P39" s="1304"/>
      <c r="Q39" s="1304"/>
      <c r="R39" s="898" t="s">
        <v>471</v>
      </c>
      <c r="S39" s="898" t="s">
        <v>479</v>
      </c>
    </row>
    <row r="40" spans="2:19" ht="37.5" customHeight="1">
      <c r="B40" s="1043" t="s">
        <v>555</v>
      </c>
      <c r="C40" s="797">
        <f>YEAR($S$9)</f>
        <v>2021</v>
      </c>
      <c r="D40" s="1295"/>
      <c r="E40" s="1296"/>
      <c r="F40" s="871">
        <f>IF(C40&gt;2019,0.5,0.4)</f>
        <v>0.5</v>
      </c>
      <c r="G40" s="1316"/>
      <c r="H40" s="1316"/>
      <c r="I40" s="1316"/>
      <c r="J40" s="1316"/>
      <c r="K40" s="1316"/>
      <c r="L40" s="1316"/>
      <c r="M40" s="1316"/>
      <c r="N40" s="1316"/>
      <c r="O40" s="1316"/>
      <c r="P40" s="1316"/>
      <c r="Q40" s="1316"/>
      <c r="R40" s="808">
        <f>$S$9</f>
        <v>44561</v>
      </c>
      <c r="S40" s="1005">
        <f>IF(C40=2017,C40+5,IF(C40=2018,C40+4,C40+3))</f>
        <v>2024</v>
      </c>
    </row>
    <row r="41" spans="2:19" ht="14.65" customHeight="1">
      <c r="B41" s="1029" t="s">
        <v>478</v>
      </c>
      <c r="C41" s="1006"/>
      <c r="D41" s="1032">
        <v>10000</v>
      </c>
      <c r="E41" s="1032">
        <v>4000</v>
      </c>
      <c r="F41" s="1007">
        <f>D41*$F$19</f>
        <v>4000</v>
      </c>
      <c r="G41" s="1316"/>
      <c r="H41" s="1316"/>
      <c r="I41" s="1316"/>
      <c r="J41" s="1316"/>
      <c r="K41" s="1316"/>
      <c r="L41" s="1316"/>
      <c r="M41" s="1316"/>
      <c r="N41" s="1316"/>
      <c r="O41" s="1316"/>
      <c r="P41" s="1316"/>
      <c r="Q41" s="1316"/>
      <c r="R41" s="1008">
        <f>E41-G41-N41-I41</f>
        <v>4000</v>
      </c>
      <c r="S41" s="1009">
        <f>R41</f>
        <v>4000</v>
      </c>
    </row>
    <row r="42" spans="2:19" ht="14.65" customHeight="1">
      <c r="B42" s="1030" t="s">
        <v>473</v>
      </c>
      <c r="C42" s="1010"/>
      <c r="D42" s="1033">
        <v>7500</v>
      </c>
      <c r="E42" s="1033">
        <v>2500</v>
      </c>
      <c r="F42" s="1011">
        <f>D42*$F$19</f>
        <v>3000</v>
      </c>
      <c r="G42" s="1316"/>
      <c r="H42" s="1316"/>
      <c r="I42" s="1316"/>
      <c r="J42" s="1316"/>
      <c r="K42" s="1316"/>
      <c r="L42" s="1316"/>
      <c r="M42" s="1316"/>
      <c r="N42" s="1316"/>
      <c r="O42" s="1316"/>
      <c r="P42" s="1316"/>
      <c r="Q42" s="1316"/>
      <c r="R42" s="1012">
        <f t="shared" ref="R42:R44" si="18">E42-G42-N42-I42</f>
        <v>2500</v>
      </c>
      <c r="S42" s="1013">
        <f>R42</f>
        <v>2500</v>
      </c>
    </row>
    <row r="43" spans="2:19" ht="14.65" customHeight="1">
      <c r="B43" s="1030" t="s">
        <v>477</v>
      </c>
      <c r="C43" s="1010"/>
      <c r="D43" s="1033">
        <v>5000</v>
      </c>
      <c r="E43" s="1033">
        <v>2000</v>
      </c>
      <c r="F43" s="1011">
        <f t="shared" ref="F43:F44" si="19">D43*$F$19</f>
        <v>2000</v>
      </c>
      <c r="G43" s="1316"/>
      <c r="H43" s="1316"/>
      <c r="I43" s="1316"/>
      <c r="J43" s="1316"/>
      <c r="K43" s="1316"/>
      <c r="L43" s="1316"/>
      <c r="M43" s="1316"/>
      <c r="N43" s="1316"/>
      <c r="O43" s="1316"/>
      <c r="P43" s="1316"/>
      <c r="Q43" s="1316"/>
      <c r="R43" s="1012">
        <f t="shared" si="18"/>
        <v>2000</v>
      </c>
      <c r="S43" s="1013">
        <f t="shared" ref="S43:S44" si="20">R43</f>
        <v>2000</v>
      </c>
    </row>
    <row r="44" spans="2:19" ht="14.65" customHeight="1">
      <c r="B44" s="1031"/>
      <c r="C44" s="1014"/>
      <c r="D44" s="1034"/>
      <c r="E44" s="1034"/>
      <c r="F44" s="1015">
        <f t="shared" si="19"/>
        <v>0</v>
      </c>
      <c r="G44" s="1317"/>
      <c r="H44" s="1317"/>
      <c r="I44" s="1317"/>
      <c r="J44" s="1317"/>
      <c r="K44" s="1317"/>
      <c r="L44" s="1317"/>
      <c r="M44" s="1317"/>
      <c r="N44" s="1317"/>
      <c r="O44" s="1317"/>
      <c r="P44" s="1317"/>
      <c r="Q44" s="1317"/>
      <c r="R44" s="1016">
        <f t="shared" si="18"/>
        <v>0</v>
      </c>
      <c r="S44" s="1017">
        <f t="shared" si="20"/>
        <v>0</v>
      </c>
    </row>
    <row r="45" spans="2:19" ht="14.65" customHeight="1"/>
    <row r="46" spans="2:19" ht="14.65" customHeight="1">
      <c r="B46" s="1312" t="s">
        <v>494</v>
      </c>
      <c r="C46" s="1313"/>
      <c r="D46" s="1313"/>
      <c r="E46" s="1313"/>
      <c r="F46" s="1018">
        <f>SUM(E41:E44)+SUM(E34:E37)+SUM(E27:E30)+SUM(E20:E23)+SUM(E13:E16)</f>
        <v>42500</v>
      </c>
      <c r="G46" s="1314" t="s">
        <v>563</v>
      </c>
      <c r="H46" s="1314"/>
      <c r="I46" s="1314"/>
      <c r="J46" s="1314"/>
      <c r="K46" s="1314"/>
      <c r="L46" s="1314"/>
      <c r="M46" s="1314"/>
      <c r="N46" s="1314"/>
      <c r="O46" s="1314"/>
      <c r="P46" s="1314"/>
      <c r="Q46" s="1315"/>
    </row>
    <row r="47" spans="2:19" ht="14.65" customHeight="1">
      <c r="B47" s="1019"/>
      <c r="C47" s="991"/>
      <c r="D47" s="991"/>
      <c r="E47" s="1020" t="s">
        <v>500</v>
      </c>
      <c r="F47" s="1021">
        <f>SUM(G34:J37)+SUM(G27:J30)+SUM(G20:J23)+SUM(G13:J16)</f>
        <v>2800</v>
      </c>
      <c r="G47" s="1307" t="s">
        <v>496</v>
      </c>
      <c r="H47" s="1307"/>
      <c r="I47" s="1307"/>
      <c r="J47" s="1307"/>
      <c r="K47" s="1307"/>
      <c r="L47" s="1307"/>
      <c r="M47" s="1307"/>
      <c r="N47" s="1307"/>
      <c r="O47" s="1307"/>
      <c r="P47" s="1307"/>
      <c r="Q47" s="1308"/>
    </row>
    <row r="48" spans="2:19" ht="14.65" customHeight="1">
      <c r="B48" s="1019"/>
      <c r="C48" s="991"/>
      <c r="D48" s="991"/>
      <c r="E48" s="1020" t="s">
        <v>500</v>
      </c>
      <c r="F48" s="1021">
        <f>SUM(N34:N37)+SUM(N27:N30)+SUM(N20:N23)+SUM(N13:N16)</f>
        <v>14800</v>
      </c>
      <c r="G48" s="1307" t="s">
        <v>501</v>
      </c>
      <c r="H48" s="1307"/>
      <c r="I48" s="1307"/>
      <c r="J48" s="1307"/>
      <c r="K48" s="1307"/>
      <c r="L48" s="1307"/>
      <c r="M48" s="1307"/>
      <c r="N48" s="1307"/>
      <c r="O48" s="1307"/>
      <c r="P48" s="1307"/>
      <c r="Q48" s="1308"/>
    </row>
    <row r="49" spans="2:17" ht="14.65" customHeight="1">
      <c r="B49" s="1019"/>
      <c r="C49" s="991"/>
      <c r="D49" s="991"/>
      <c r="E49" s="1020" t="s">
        <v>500</v>
      </c>
      <c r="F49" s="1042">
        <v>0</v>
      </c>
      <c r="G49" s="1022" t="s">
        <v>497</v>
      </c>
      <c r="H49" s="1022"/>
      <c r="I49" s="1022"/>
      <c r="J49" s="1023">
        <f>S9</f>
        <v>44561</v>
      </c>
      <c r="K49" s="1307" t="s">
        <v>495</v>
      </c>
      <c r="L49" s="1307"/>
      <c r="M49" s="1307"/>
      <c r="N49" s="1307"/>
      <c r="O49" s="1307"/>
      <c r="P49" s="1307"/>
      <c r="Q49" s="1308"/>
    </row>
    <row r="50" spans="2:17" ht="14.65" customHeight="1">
      <c r="B50" s="1019"/>
      <c r="C50" s="991"/>
      <c r="D50" s="991"/>
      <c r="E50" s="1020" t="s">
        <v>500</v>
      </c>
      <c r="F50" s="1042">
        <v>0</v>
      </c>
      <c r="G50" s="1307" t="s">
        <v>498</v>
      </c>
      <c r="H50" s="1307"/>
      <c r="I50" s="1307"/>
      <c r="J50" s="1307"/>
      <c r="K50" s="1307"/>
      <c r="L50" s="1307"/>
      <c r="M50" s="1307"/>
      <c r="N50" s="1307"/>
      <c r="O50" s="1307"/>
      <c r="P50" s="1307"/>
      <c r="Q50" s="1308"/>
    </row>
    <row r="51" spans="2:17" ht="14.65" customHeight="1">
      <c r="B51" s="1024"/>
      <c r="C51" s="1025"/>
      <c r="D51" s="1025"/>
      <c r="E51" s="1026" t="s">
        <v>402</v>
      </c>
      <c r="F51" s="1027">
        <f>F46-F47-F49-F50-F48</f>
        <v>24900</v>
      </c>
      <c r="G51" s="1309" t="s">
        <v>499</v>
      </c>
      <c r="H51" s="1310"/>
      <c r="I51" s="1310"/>
      <c r="J51" s="1310"/>
      <c r="K51" s="1310"/>
      <c r="L51" s="1310"/>
      <c r="M51" s="1310"/>
      <c r="N51" s="1310"/>
      <c r="O51" s="1310"/>
      <c r="P51" s="1310"/>
      <c r="Q51" s="1311"/>
    </row>
    <row r="52" spans="2:17" ht="14.65" customHeight="1">
      <c r="F52" s="1028" t="str">
        <f>IF(F51&gt;200000,"Bitte Einhaltung des Höchtsbetrages nach § 7g Abs. 1 Satz 4 EStG prüfen!","")</f>
        <v/>
      </c>
    </row>
  </sheetData>
  <mergeCells count="80">
    <mergeCell ref="G16:H16"/>
    <mergeCell ref="I16:J16"/>
    <mergeCell ref="G13:H13"/>
    <mergeCell ref="I13:J13"/>
    <mergeCell ref="G14:H14"/>
    <mergeCell ref="I14:J14"/>
    <mergeCell ref="G15:H15"/>
    <mergeCell ref="I15:J15"/>
    <mergeCell ref="C6:S6"/>
    <mergeCell ref="C5:S5"/>
    <mergeCell ref="C7:S7"/>
    <mergeCell ref="D11:D12"/>
    <mergeCell ref="E11:E12"/>
    <mergeCell ref="G11:J11"/>
    <mergeCell ref="K11:K12"/>
    <mergeCell ref="L11:L12"/>
    <mergeCell ref="M11:M12"/>
    <mergeCell ref="N11:N12"/>
    <mergeCell ref="P11:P12"/>
    <mergeCell ref="G39:Q44"/>
    <mergeCell ref="D39:D40"/>
    <mergeCell ref="E39:E40"/>
    <mergeCell ref="G35:H35"/>
    <mergeCell ref="I35:J35"/>
    <mergeCell ref="G36:H36"/>
    <mergeCell ref="I36:J36"/>
    <mergeCell ref="G37:H37"/>
    <mergeCell ref="I37:J37"/>
    <mergeCell ref="G48:Q48"/>
    <mergeCell ref="G51:Q51"/>
    <mergeCell ref="B46:E46"/>
    <mergeCell ref="G46:Q46"/>
    <mergeCell ref="G47:Q47"/>
    <mergeCell ref="K49:Q49"/>
    <mergeCell ref="G50:Q50"/>
    <mergeCell ref="G34:H34"/>
    <mergeCell ref="I34:J34"/>
    <mergeCell ref="G18:J18"/>
    <mergeCell ref="I23:J23"/>
    <mergeCell ref="I22:J22"/>
    <mergeCell ref="I21:J21"/>
    <mergeCell ref="I20:J20"/>
    <mergeCell ref="G20:H20"/>
    <mergeCell ref="G21:H21"/>
    <mergeCell ref="G29:H29"/>
    <mergeCell ref="I29:J29"/>
    <mergeCell ref="G30:H30"/>
    <mergeCell ref="I30:J30"/>
    <mergeCell ref="G32:J32"/>
    <mergeCell ref="P32:P33"/>
    <mergeCell ref="G28:H28"/>
    <mergeCell ref="I28:J28"/>
    <mergeCell ref="G25:J25"/>
    <mergeCell ref="G23:H23"/>
    <mergeCell ref="M32:M33"/>
    <mergeCell ref="G27:H27"/>
    <mergeCell ref="I27:J27"/>
    <mergeCell ref="M25:M26"/>
    <mergeCell ref="N32:N33"/>
    <mergeCell ref="D32:D33"/>
    <mergeCell ref="E32:E33"/>
    <mergeCell ref="K32:K33"/>
    <mergeCell ref="L32:L33"/>
    <mergeCell ref="G22:H22"/>
    <mergeCell ref="F2:K2"/>
    <mergeCell ref="P18:P19"/>
    <mergeCell ref="N25:N26"/>
    <mergeCell ref="P25:P26"/>
    <mergeCell ref="B1:S1"/>
    <mergeCell ref="C9:E9"/>
    <mergeCell ref="D18:D19"/>
    <mergeCell ref="E18:E19"/>
    <mergeCell ref="N18:N19"/>
    <mergeCell ref="K18:K19"/>
    <mergeCell ref="M18:M19"/>
    <mergeCell ref="L18:L19"/>
    <mergeCell ref="D25:D26"/>
    <mergeCell ref="E25:E26"/>
    <mergeCell ref="K25:K26"/>
    <mergeCell ref="L25:L26"/>
  </mergeCells>
  <phoneticPr fontId="40" type="noConversion"/>
  <dataValidations count="4">
    <dataValidation type="whole" allowBlank="1" showInputMessage="1" showErrorMessage="1" sqref="E20:E23 N20:N23 E27:E30 N27:N30 E34:E37 N34:N37 E41:E44 E13:E16 N13:N16" xr:uid="{D62B5654-4B1D-4289-9121-91B1EEB64E48}">
      <formula1>0</formula1>
      <formula2>F13</formula2>
    </dataValidation>
    <dataValidation type="date" allowBlank="1" showInputMessage="1" showErrorMessage="1" sqref="K20:K23 K27:K30 K34:K37 K13:K16" xr:uid="{27B0CB3B-D2B8-4819-9002-C2D13962A795}">
      <formula1>43101</formula1>
      <formula2>44196</formula2>
    </dataValidation>
    <dataValidation type="whole" allowBlank="1" showInputMessage="1" showErrorMessage="1" sqref="G20:G23 G27:G30 G34:G37 G13:G16" xr:uid="{D48D4E98-189C-4ACB-B156-ECF28047F840}">
      <formula1>0</formula1>
      <formula2>E13</formula2>
    </dataValidation>
    <dataValidation type="whole" allowBlank="1" showInputMessage="1" showErrorMessage="1" sqref="R20 R27 R34 R41 R13" xr:uid="{16C0538E-083D-47D0-8DFF-71204BFC1D4A}">
      <formula1>0</formula1>
      <formula2>1000000</formula2>
    </dataValidation>
  </dataValidations>
  <hyperlinks>
    <hyperlink ref="U1" location="Inhaltsverzeichnis!A1" display="zum Inhaltsverzeichnis" xr:uid="{1152C5E2-9099-4054-8559-82B0EB8AF5C5}"/>
  </hyperlinks>
  <pageMargins left="0.7" right="0.7" top="0.78740157499999996" bottom="0.78740157499999996" header="0.3" footer="0.3"/>
  <pageSetup paperSize="9" scale="49" orientation="landscape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47AF-22AF-4135-9408-30CE24C9A4A2}">
  <dimension ref="A1:K21"/>
  <sheetViews>
    <sheetView showGridLines="0" workbookViewId="0">
      <selection activeCell="B1" sqref="B1:J1"/>
    </sheetView>
  </sheetViews>
  <sheetFormatPr baseColWidth="10" defaultColWidth="0" defaultRowHeight="15" zeroHeight="1"/>
  <cols>
    <col min="1" max="1" width="1.7109375" customWidth="1"/>
    <col min="2" max="6" width="11.42578125" customWidth="1"/>
    <col min="7" max="7" width="16.42578125" customWidth="1"/>
    <col min="8" max="10" width="11.42578125" customWidth="1"/>
    <col min="11" max="11" width="1.7109375" customWidth="1"/>
    <col min="12" max="16384" width="11.42578125" hidden="1"/>
  </cols>
  <sheetData>
    <row r="1" spans="2:10" ht="35.1" customHeight="1">
      <c r="B1" s="1079" t="s">
        <v>366</v>
      </c>
      <c r="C1" s="1080"/>
      <c r="D1" s="1080"/>
      <c r="E1" s="1080"/>
      <c r="F1" s="1080"/>
      <c r="G1" s="1080"/>
      <c r="H1" s="1080"/>
      <c r="I1" s="1080"/>
      <c r="J1" s="1089"/>
    </row>
    <row r="2" spans="2:10">
      <c r="B2" s="5"/>
      <c r="C2" s="5"/>
      <c r="D2" s="5"/>
      <c r="E2" s="5"/>
      <c r="F2" s="5"/>
      <c r="G2" s="5"/>
      <c r="H2" s="5"/>
      <c r="I2" s="5"/>
      <c r="J2" s="5"/>
    </row>
    <row r="3" spans="2:10">
      <c r="B3" s="1090" t="s">
        <v>18</v>
      </c>
      <c r="C3" s="1090"/>
      <c r="D3" s="1090"/>
      <c r="E3" s="1090"/>
      <c r="F3" s="1090"/>
      <c r="G3" s="1090"/>
      <c r="H3" s="1090"/>
      <c r="I3" s="1090"/>
      <c r="J3" s="1090"/>
    </row>
    <row r="4" spans="2:10">
      <c r="B4" s="1090"/>
      <c r="C4" s="1090"/>
      <c r="D4" s="1090"/>
      <c r="E4" s="1090"/>
      <c r="F4" s="1090"/>
      <c r="G4" s="1090"/>
      <c r="H4" s="1090"/>
      <c r="I4" s="1090"/>
      <c r="J4" s="1090"/>
    </row>
    <row r="5" spans="2:10">
      <c r="B5" s="1090"/>
      <c r="C5" s="1090"/>
      <c r="D5" s="1090"/>
      <c r="E5" s="1090"/>
      <c r="F5" s="1090"/>
      <c r="G5" s="1090"/>
      <c r="H5" s="1090"/>
      <c r="I5" s="1090"/>
      <c r="J5" s="1090"/>
    </row>
    <row r="6" spans="2:10">
      <c r="B6" s="1090"/>
      <c r="C6" s="1090"/>
      <c r="D6" s="1090"/>
      <c r="E6" s="1090"/>
      <c r="F6" s="1090"/>
      <c r="G6" s="1090"/>
      <c r="H6" s="1090"/>
      <c r="I6" s="1090"/>
      <c r="J6" s="1090"/>
    </row>
    <row r="7" spans="2:10" s="544" customFormat="1">
      <c r="B7" s="1090"/>
      <c r="C7" s="1090"/>
      <c r="D7" s="1090"/>
      <c r="E7" s="1090"/>
      <c r="F7" s="1090"/>
      <c r="G7" s="1090"/>
      <c r="H7" s="1090"/>
      <c r="I7" s="1090"/>
      <c r="J7" s="1090"/>
    </row>
    <row r="8" spans="2:10" s="544" customFormat="1">
      <c r="B8" s="544" t="s">
        <v>313</v>
      </c>
      <c r="C8" s="542"/>
      <c r="D8" s="542"/>
      <c r="E8" s="542"/>
      <c r="F8" s="542"/>
      <c r="G8" s="542"/>
      <c r="H8" s="542"/>
      <c r="I8" s="542"/>
      <c r="J8" s="542"/>
    </row>
    <row r="9" spans="2:10">
      <c r="B9" s="6"/>
      <c r="C9" s="6"/>
      <c r="D9" s="6"/>
      <c r="E9" s="6"/>
      <c r="F9" s="6"/>
      <c r="G9" s="6"/>
      <c r="H9" s="6"/>
      <c r="I9" s="6"/>
      <c r="J9" s="6"/>
    </row>
    <row r="10" spans="2:10">
      <c r="B10" s="1090" t="s">
        <v>309</v>
      </c>
      <c r="C10" s="1090"/>
      <c r="D10" s="1090"/>
      <c r="E10" s="1090"/>
      <c r="F10" s="1090"/>
      <c r="G10" s="1090"/>
      <c r="H10" s="1090"/>
      <c r="I10" s="1090"/>
      <c r="J10" s="1090"/>
    </row>
    <row r="11" spans="2:10">
      <c r="B11" s="1090"/>
      <c r="C11" s="1090"/>
      <c r="D11" s="1090"/>
      <c r="E11" s="1090"/>
      <c r="F11" s="1090"/>
      <c r="G11" s="1090"/>
      <c r="H11" s="1090"/>
      <c r="I11" s="1090"/>
      <c r="J11" s="1090"/>
    </row>
    <row r="12" spans="2:10">
      <c r="B12" s="1090"/>
      <c r="C12" s="1090"/>
      <c r="D12" s="1090"/>
      <c r="E12" s="1090"/>
      <c r="F12" s="1090"/>
      <c r="G12" s="1090"/>
      <c r="H12" s="1090"/>
      <c r="I12" s="1090"/>
      <c r="J12" s="1090"/>
    </row>
    <row r="13" spans="2:10">
      <c r="B13" s="6"/>
      <c r="C13" s="6"/>
      <c r="D13" s="6"/>
      <c r="E13" s="6"/>
      <c r="F13" s="6"/>
      <c r="G13" s="6"/>
      <c r="H13" s="6"/>
      <c r="I13" s="6"/>
      <c r="J13" s="6"/>
    </row>
    <row r="14" spans="2:10">
      <c r="B14" s="1090" t="s">
        <v>310</v>
      </c>
      <c r="C14" s="1090"/>
      <c r="D14" s="1090"/>
      <c r="E14" s="1090"/>
      <c r="F14" s="1090"/>
      <c r="G14" s="1090"/>
      <c r="H14" s="1090"/>
      <c r="I14" s="1090"/>
      <c r="J14" s="1090"/>
    </row>
    <row r="15" spans="2:10">
      <c r="B15" s="1090"/>
      <c r="C15" s="1090"/>
      <c r="D15" s="1090"/>
      <c r="E15" s="1090"/>
      <c r="F15" s="1090"/>
      <c r="G15" s="1090"/>
      <c r="H15" s="1090"/>
      <c r="I15" s="1090"/>
      <c r="J15" s="1090"/>
    </row>
    <row r="16" spans="2:10" ht="33.75" customHeight="1">
      <c r="B16" s="1090"/>
      <c r="C16" s="1090"/>
      <c r="D16" s="1090"/>
      <c r="E16" s="1090"/>
      <c r="F16" s="1090"/>
      <c r="G16" s="1090"/>
      <c r="H16" s="1090"/>
      <c r="I16" s="1090"/>
      <c r="J16" s="1090"/>
    </row>
    <row r="17" spans="2:10">
      <c r="B17" s="6"/>
      <c r="C17" s="6"/>
      <c r="D17" s="6"/>
      <c r="E17" s="6"/>
      <c r="F17" s="6"/>
      <c r="G17" s="6"/>
      <c r="H17" s="6"/>
      <c r="I17" s="6"/>
      <c r="J17" s="6"/>
    </row>
    <row r="18" spans="2:10">
      <c r="B18" s="1090"/>
      <c r="C18" s="1090"/>
      <c r="D18" s="1090"/>
      <c r="E18" s="1090"/>
      <c r="F18" s="1090"/>
      <c r="G18" s="1090"/>
      <c r="H18" s="1090"/>
      <c r="I18" s="1090"/>
      <c r="J18" s="1090"/>
    </row>
    <row r="19" spans="2:10">
      <c r="B19" s="1090"/>
      <c r="C19" s="1090"/>
      <c r="D19" s="1090"/>
      <c r="E19" s="1090"/>
      <c r="F19" s="1090"/>
      <c r="G19" s="1090"/>
      <c r="H19" s="1090"/>
      <c r="I19" s="1090"/>
      <c r="J19" s="1090"/>
    </row>
    <row r="20" spans="2:10">
      <c r="B20" s="1090"/>
      <c r="C20" s="1090"/>
      <c r="D20" s="1090"/>
      <c r="E20" s="1090"/>
      <c r="F20" s="1090"/>
      <c r="G20" s="1090"/>
      <c r="H20" s="1090"/>
      <c r="I20" s="1090"/>
      <c r="J20" s="1090"/>
    </row>
    <row r="21" spans="2:10"/>
  </sheetData>
  <mergeCells count="5">
    <mergeCell ref="B1:J1"/>
    <mergeCell ref="B3:J7"/>
    <mergeCell ref="B10:J12"/>
    <mergeCell ref="B14:J16"/>
    <mergeCell ref="B18:J20"/>
  </mergeCell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53B99-1495-4424-881D-11C59C5CB7C0}">
  <sheetPr>
    <pageSetUpPr fitToPage="1"/>
  </sheetPr>
  <dimension ref="A1:J42"/>
  <sheetViews>
    <sheetView showGridLines="0" zoomScaleNormal="100" workbookViewId="0">
      <pane ySplit="6" topLeftCell="A30" activePane="bottomLeft" state="frozen"/>
      <selection pane="bottomLeft" activeCell="B8" sqref="B8"/>
    </sheetView>
  </sheetViews>
  <sheetFormatPr baseColWidth="10" defaultColWidth="0" defaultRowHeight="15" zeroHeight="1"/>
  <cols>
    <col min="1" max="1" width="1.7109375" customWidth="1"/>
    <col min="2" max="2" width="25.42578125" bestFit="1" customWidth="1"/>
    <col min="3" max="3" width="11.42578125" customWidth="1"/>
    <col min="4" max="4" width="14.7109375" customWidth="1"/>
    <col min="5" max="5" width="18.85546875" customWidth="1"/>
    <col min="6" max="6" width="17.42578125" customWidth="1"/>
    <col min="7" max="7" width="17" customWidth="1"/>
    <col min="8" max="8" width="14.28515625" customWidth="1"/>
    <col min="9" max="9" width="1.7109375" customWidth="1"/>
    <col min="10" max="10" width="21.42578125" customWidth="1"/>
    <col min="11" max="16384" width="11.42578125" hidden="1"/>
  </cols>
  <sheetData>
    <row r="1" spans="2:10" ht="35.1" customHeight="1">
      <c r="B1" s="1079" t="s">
        <v>377</v>
      </c>
      <c r="C1" s="1183"/>
      <c r="D1" s="1183"/>
      <c r="E1" s="1183"/>
      <c r="F1" s="1183"/>
      <c r="G1" s="1183"/>
      <c r="H1" s="1183"/>
      <c r="J1" s="464" t="s">
        <v>269</v>
      </c>
    </row>
    <row r="2" spans="2:10" s="616" customFormat="1">
      <c r="B2" s="1166" t="s">
        <v>343</v>
      </c>
      <c r="C2" s="1166"/>
      <c r="D2" s="1166"/>
      <c r="E2" s="1166"/>
      <c r="F2" s="1166"/>
      <c r="G2" s="1166"/>
      <c r="H2" s="1166"/>
      <c r="J2" s="464"/>
    </row>
    <row r="3" spans="2:10" s="681" customFormat="1">
      <c r="B3" s="1167" t="s">
        <v>407</v>
      </c>
      <c r="C3" s="1167"/>
      <c r="D3" s="1167"/>
      <c r="E3" s="1167"/>
      <c r="F3" s="1167"/>
      <c r="G3" s="1167"/>
      <c r="H3" s="680"/>
      <c r="J3" s="464"/>
    </row>
    <row r="4" spans="2:10" s="214" customFormat="1" ht="15" customHeight="1">
      <c r="B4" s="458"/>
      <c r="H4" s="603" t="s">
        <v>314</v>
      </c>
    </row>
    <row r="5" spans="2:10">
      <c r="B5" s="18" t="s">
        <v>75</v>
      </c>
      <c r="C5" s="1157" t="str">
        <f>Mandantendaten!C3</f>
        <v>Max Mustermann</v>
      </c>
      <c r="D5" s="1184"/>
      <c r="E5" s="1184"/>
      <c r="F5" s="1184"/>
      <c r="G5" s="1184"/>
      <c r="H5" s="20">
        <f>Mandantendaten!C5</f>
        <v>44561</v>
      </c>
    </row>
    <row r="6" spans="2:10">
      <c r="B6" s="60"/>
      <c r="C6" s="60"/>
      <c r="D6" s="60"/>
      <c r="E6" s="63"/>
      <c r="F6" s="63"/>
      <c r="G6" s="63"/>
      <c r="H6" s="63"/>
    </row>
    <row r="7" spans="2:10">
      <c r="B7" s="163" t="s">
        <v>160</v>
      </c>
      <c r="C7" s="98" t="s">
        <v>132</v>
      </c>
      <c r="D7" s="179">
        <f>IF(YEAR($H$5)=2020,$H$5-365,IF(YEAR($H$5)=2024,$H$5-365,IF(YEAR($H$5)=2025,$H$5-365,$H$5-364)))</f>
        <v>44197</v>
      </c>
      <c r="E7" s="100" t="s">
        <v>133</v>
      </c>
      <c r="F7" s="100" t="s">
        <v>158</v>
      </c>
      <c r="G7" s="100" t="s">
        <v>134</v>
      </c>
      <c r="H7" s="160">
        <f>$H$5</f>
        <v>44561</v>
      </c>
    </row>
    <row r="8" spans="2:10">
      <c r="B8" s="71" t="s">
        <v>319</v>
      </c>
      <c r="C8" s="1319">
        <v>100</v>
      </c>
      <c r="D8" s="1320"/>
      <c r="E8" s="219">
        <v>10</v>
      </c>
      <c r="F8" s="219">
        <v>20</v>
      </c>
      <c r="G8" s="181">
        <v>50</v>
      </c>
      <c r="H8" s="73">
        <f>C8-E8-F8+G8</f>
        <v>120</v>
      </c>
    </row>
    <row r="9" spans="2:10">
      <c r="B9" s="74"/>
      <c r="C9" s="1277"/>
      <c r="D9" s="1277"/>
      <c r="E9" s="220"/>
      <c r="F9" s="220"/>
      <c r="G9" s="183"/>
      <c r="H9" s="73">
        <f>C9-E9-F9+G9</f>
        <v>0</v>
      </c>
    </row>
    <row r="10" spans="2:10">
      <c r="B10" s="74"/>
      <c r="C10" s="1277"/>
      <c r="D10" s="1277"/>
      <c r="E10" s="220"/>
      <c r="F10" s="220"/>
      <c r="G10" s="183"/>
      <c r="H10" s="73">
        <f>C10-E10-F10+G10</f>
        <v>0</v>
      </c>
    </row>
    <row r="11" spans="2:10">
      <c r="B11" s="78"/>
      <c r="C11" s="1284"/>
      <c r="D11" s="1284"/>
      <c r="E11" s="221"/>
      <c r="F11" s="221"/>
      <c r="G11" s="185"/>
      <c r="H11" s="73">
        <f>C11-E11-F11+G11</f>
        <v>0</v>
      </c>
    </row>
    <row r="12" spans="2:10">
      <c r="B12" s="83" t="s">
        <v>161</v>
      </c>
      <c r="C12" s="1274">
        <f>SUM(C8:D11)</f>
        <v>100</v>
      </c>
      <c r="D12" s="1275"/>
      <c r="E12" s="162">
        <f>SUM(E8:E11)</f>
        <v>10</v>
      </c>
      <c r="F12" s="162">
        <f>SUM(F8:F11)</f>
        <v>20</v>
      </c>
      <c r="G12" s="162">
        <f>SUM(G8:G11)</f>
        <v>50</v>
      </c>
      <c r="H12" s="162">
        <f>SUM(H8:H11)</f>
        <v>120</v>
      </c>
    </row>
    <row r="13" spans="2:10">
      <c r="B13" s="22"/>
      <c r="C13" s="22"/>
      <c r="D13" s="22"/>
      <c r="E13" s="25"/>
      <c r="F13" s="25"/>
      <c r="G13" s="25"/>
      <c r="H13" s="25"/>
    </row>
    <row r="14" spans="2:10">
      <c r="B14" s="163" t="s">
        <v>162</v>
      </c>
      <c r="C14" s="98" t="s">
        <v>132</v>
      </c>
      <c r="D14" s="179">
        <f>IF(YEAR($H$5)=2020,$H$5-365,IF(YEAR($H$5)=2024,$H$5-365,IF(YEAR($H$5)=2025,$H$5-365,$H$5-364)))</f>
        <v>44197</v>
      </c>
      <c r="E14" s="100" t="s">
        <v>133</v>
      </c>
      <c r="F14" s="100" t="s">
        <v>158</v>
      </c>
      <c r="G14" s="100" t="s">
        <v>134</v>
      </c>
      <c r="H14" s="160">
        <f>$H$5</f>
        <v>44561</v>
      </c>
    </row>
    <row r="15" spans="2:10">
      <c r="B15" s="71"/>
      <c r="C15" s="1319"/>
      <c r="D15" s="1319"/>
      <c r="E15" s="219"/>
      <c r="F15" s="219"/>
      <c r="G15" s="181"/>
      <c r="H15" s="73">
        <f t="shared" ref="H15:H20" si="0">C15-E15-F15+G15</f>
        <v>0</v>
      </c>
    </row>
    <row r="16" spans="2:10">
      <c r="B16" s="74"/>
      <c r="C16" s="1277"/>
      <c r="D16" s="1277"/>
      <c r="E16" s="220"/>
      <c r="F16" s="220"/>
      <c r="G16" s="183"/>
      <c r="H16" s="73">
        <f t="shared" si="0"/>
        <v>0</v>
      </c>
    </row>
    <row r="17" spans="2:8">
      <c r="B17" s="74"/>
      <c r="C17" s="1277"/>
      <c r="D17" s="1277"/>
      <c r="E17" s="220"/>
      <c r="F17" s="220"/>
      <c r="G17" s="183"/>
      <c r="H17" s="73">
        <f t="shared" si="0"/>
        <v>0</v>
      </c>
    </row>
    <row r="18" spans="2:8">
      <c r="B18" s="74"/>
      <c r="C18" s="1277"/>
      <c r="D18" s="1277"/>
      <c r="E18" s="220"/>
      <c r="F18" s="220"/>
      <c r="G18" s="183"/>
      <c r="H18" s="73">
        <f t="shared" si="0"/>
        <v>0</v>
      </c>
    </row>
    <row r="19" spans="2:8">
      <c r="B19" s="74"/>
      <c r="C19" s="1277"/>
      <c r="D19" s="1277"/>
      <c r="E19" s="220"/>
      <c r="F19" s="220"/>
      <c r="G19" s="183"/>
      <c r="H19" s="73">
        <f t="shared" si="0"/>
        <v>0</v>
      </c>
    </row>
    <row r="20" spans="2:8">
      <c r="B20" s="78"/>
      <c r="C20" s="1284"/>
      <c r="D20" s="1284"/>
      <c r="E20" s="221"/>
      <c r="F20" s="221"/>
      <c r="G20" s="185"/>
      <c r="H20" s="73">
        <f t="shared" si="0"/>
        <v>0</v>
      </c>
    </row>
    <row r="21" spans="2:8">
      <c r="B21" s="83" t="s">
        <v>163</v>
      </c>
      <c r="C21" s="1274">
        <f>SUM(C15:D20)</f>
        <v>0</v>
      </c>
      <c r="D21" s="1275"/>
      <c r="E21" s="162">
        <f>SUM(E15:E20)</f>
        <v>0</v>
      </c>
      <c r="F21" s="162">
        <f>SUM(F15:F20)</f>
        <v>0</v>
      </c>
      <c r="G21" s="162">
        <f>SUM(G15:G20)</f>
        <v>0</v>
      </c>
      <c r="H21" s="162">
        <f>SUM(H15:H20)</f>
        <v>0</v>
      </c>
    </row>
    <row r="22" spans="2:8">
      <c r="B22" s="22"/>
      <c r="C22" s="22"/>
      <c r="D22" s="22"/>
      <c r="E22" s="25"/>
      <c r="F22" s="25"/>
      <c r="G22" s="25"/>
      <c r="H22" s="25"/>
    </row>
    <row r="23" spans="2:8" ht="30">
      <c r="B23" s="642" t="s">
        <v>344</v>
      </c>
      <c r="C23" s="98" t="s">
        <v>132</v>
      </c>
      <c r="D23" s="179">
        <f>IF(YEAR($H$5)=2020,$H$5-365,IF(YEAR($H$5)=2024,$H$5-365,IF(YEAR($H$5)=2025,$H$5-365,$H$5-364)))</f>
        <v>44197</v>
      </c>
      <c r="E23" s="100" t="s">
        <v>133</v>
      </c>
      <c r="F23" s="100" t="s">
        <v>158</v>
      </c>
      <c r="G23" s="100" t="s">
        <v>134</v>
      </c>
      <c r="H23" s="160">
        <f>$H$5</f>
        <v>44561</v>
      </c>
    </row>
    <row r="24" spans="2:8">
      <c r="B24" s="71"/>
      <c r="C24" s="1319"/>
      <c r="D24" s="1319"/>
      <c r="E24" s="219"/>
      <c r="F24" s="219"/>
      <c r="G24" s="181"/>
      <c r="H24" s="73">
        <f>C24-E24-F24+G24</f>
        <v>0</v>
      </c>
    </row>
    <row r="25" spans="2:8">
      <c r="B25" s="74"/>
      <c r="C25" s="1277"/>
      <c r="D25" s="1277"/>
      <c r="E25" s="220"/>
      <c r="F25" s="220"/>
      <c r="G25" s="183"/>
      <c r="H25" s="73">
        <f>C25-E25-F25+G25</f>
        <v>0</v>
      </c>
    </row>
    <row r="26" spans="2:8">
      <c r="B26" s="74"/>
      <c r="C26" s="1277"/>
      <c r="D26" s="1277"/>
      <c r="E26" s="220"/>
      <c r="F26" s="220"/>
      <c r="G26" s="183"/>
      <c r="H26" s="73">
        <f>C26-E26-F26+G26</f>
        <v>0</v>
      </c>
    </row>
    <row r="27" spans="2:8">
      <c r="B27" s="78"/>
      <c r="C27" s="1284"/>
      <c r="D27" s="1284"/>
      <c r="E27" s="221"/>
      <c r="F27" s="221"/>
      <c r="G27" s="185"/>
      <c r="H27" s="73">
        <f>C27-E27-F27+G27</f>
        <v>0</v>
      </c>
    </row>
    <row r="28" spans="2:8">
      <c r="B28" s="83" t="s">
        <v>164</v>
      </c>
      <c r="C28" s="1274">
        <f>SUM(C24:D27)</f>
        <v>0</v>
      </c>
      <c r="D28" s="1275"/>
      <c r="E28" s="162">
        <f>SUM(E24:E27)</f>
        <v>0</v>
      </c>
      <c r="F28" s="162">
        <f>SUM(F24:F27)</f>
        <v>0</v>
      </c>
      <c r="G28" s="162">
        <f>SUM(G24:G27)</f>
        <v>0</v>
      </c>
      <c r="H28" s="162">
        <f>SUM(H24:H27)</f>
        <v>0</v>
      </c>
    </row>
    <row r="29" spans="2:8">
      <c r="B29" s="22"/>
      <c r="C29" s="22"/>
      <c r="D29" s="22"/>
      <c r="E29" s="25"/>
      <c r="F29" s="25"/>
      <c r="G29" s="25"/>
      <c r="H29" s="25"/>
    </row>
    <row r="30" spans="2:8">
      <c r="B30" s="163" t="s">
        <v>165</v>
      </c>
      <c r="C30" s="98" t="s">
        <v>132</v>
      </c>
      <c r="D30" s="179">
        <f>IF(YEAR($H$5)=2020,$H$5-365,IF(YEAR($H$5)=2024,$H$5-365,IF(YEAR($H$5)=2025,$H$5-365,$H$5-364)))</f>
        <v>44197</v>
      </c>
      <c r="E30" s="100" t="s">
        <v>133</v>
      </c>
      <c r="F30" s="100" t="s">
        <v>158</v>
      </c>
      <c r="G30" s="100" t="s">
        <v>134</v>
      </c>
      <c r="H30" s="160">
        <f>$H$5</f>
        <v>44561</v>
      </c>
    </row>
    <row r="31" spans="2:8">
      <c r="B31" s="71"/>
      <c r="C31" s="1319"/>
      <c r="D31" s="1319"/>
      <c r="E31" s="219"/>
      <c r="F31" s="219"/>
      <c r="G31" s="181"/>
      <c r="H31" s="73">
        <f>C31-E31-F31+G31</f>
        <v>0</v>
      </c>
    </row>
    <row r="32" spans="2:8">
      <c r="B32" s="74"/>
      <c r="C32" s="1277"/>
      <c r="D32" s="1277"/>
      <c r="E32" s="220"/>
      <c r="F32" s="220"/>
      <c r="G32" s="183"/>
      <c r="H32" s="73">
        <f>C32-E32-F32+G32</f>
        <v>0</v>
      </c>
    </row>
    <row r="33" spans="2:8">
      <c r="B33" s="74"/>
      <c r="C33" s="1277"/>
      <c r="D33" s="1277"/>
      <c r="E33" s="220"/>
      <c r="F33" s="220"/>
      <c r="G33" s="183"/>
      <c r="H33" s="73">
        <f>C33-E33-F33+G33</f>
        <v>0</v>
      </c>
    </row>
    <row r="34" spans="2:8">
      <c r="B34" s="78"/>
      <c r="C34" s="1284"/>
      <c r="D34" s="1284"/>
      <c r="E34" s="221"/>
      <c r="F34" s="221"/>
      <c r="G34" s="185"/>
      <c r="H34" s="73">
        <f>C34-E34-F34+G34</f>
        <v>0</v>
      </c>
    </row>
    <row r="35" spans="2:8">
      <c r="B35" s="83" t="s">
        <v>274</v>
      </c>
      <c r="C35" s="1274">
        <f>SUM(C31:D34)</f>
        <v>0</v>
      </c>
      <c r="D35" s="1275"/>
      <c r="E35" s="162">
        <f>SUM(E31:E34)</f>
        <v>0</v>
      </c>
      <c r="F35" s="162">
        <f>SUM(F31:F34)</f>
        <v>0</v>
      </c>
      <c r="G35" s="162">
        <f>SUM(G31:G34)</f>
        <v>0</v>
      </c>
      <c r="H35" s="162">
        <f>SUM(H31:H34)</f>
        <v>0</v>
      </c>
    </row>
    <row r="36" spans="2:8">
      <c r="B36" s="22"/>
      <c r="C36" s="22"/>
      <c r="D36" s="22"/>
      <c r="E36" s="88"/>
      <c r="F36" s="88"/>
      <c r="G36" s="88"/>
      <c r="H36" s="89"/>
    </row>
    <row r="37" spans="2:8">
      <c r="B37" s="83" t="s">
        <v>166</v>
      </c>
      <c r="C37" s="1274">
        <f>C35+C28+C21+C12</f>
        <v>100</v>
      </c>
      <c r="D37" s="1275"/>
      <c r="E37" s="162">
        <f>E35+E28+E21+E12</f>
        <v>10</v>
      </c>
      <c r="F37" s="162">
        <f>F35+F28+F21+F12</f>
        <v>20</v>
      </c>
      <c r="G37" s="162">
        <f>G35+G28+G21+G12</f>
        <v>50</v>
      </c>
      <c r="H37" s="162">
        <f>H35+H28+H21+H12</f>
        <v>120</v>
      </c>
    </row>
    <row r="38" spans="2:8"/>
    <row r="39" spans="2:8"/>
    <row r="40" spans="2:8"/>
    <row r="41" spans="2:8"/>
    <row r="42" spans="2:8"/>
  </sheetData>
  <sheetProtection algorithmName="SHA-512" hashValue="HPOtyY6VtHzFzJjAN6VuoHDo3raFXWDJ4WHc0SkTkWQMdGmzgsnc25g3HQzKYa/9EPq4UsCq0lJvBKyl3ktO+w==" saltValue="K0dDjJUBYZcKw25D8oH3pw==" spinCount="100000" sheet="1" objects="1" scenarios="1"/>
  <mergeCells count="27">
    <mergeCell ref="C37:D37"/>
    <mergeCell ref="C28:D28"/>
    <mergeCell ref="C31:D31"/>
    <mergeCell ref="C32:D32"/>
    <mergeCell ref="C33:D33"/>
    <mergeCell ref="C34:D34"/>
    <mergeCell ref="C35:D35"/>
    <mergeCell ref="C27:D27"/>
    <mergeCell ref="C12:D12"/>
    <mergeCell ref="C15:D15"/>
    <mergeCell ref="C16:D16"/>
    <mergeCell ref="C17:D17"/>
    <mergeCell ref="C18:D18"/>
    <mergeCell ref="C19:D19"/>
    <mergeCell ref="C20:D20"/>
    <mergeCell ref="C21:D21"/>
    <mergeCell ref="C24:D24"/>
    <mergeCell ref="C25:D25"/>
    <mergeCell ref="C26:D26"/>
    <mergeCell ref="C11:D11"/>
    <mergeCell ref="B1:H1"/>
    <mergeCell ref="C5:G5"/>
    <mergeCell ref="C8:D8"/>
    <mergeCell ref="C9:D9"/>
    <mergeCell ref="C10:D10"/>
    <mergeCell ref="B2:H2"/>
    <mergeCell ref="B3:G3"/>
  </mergeCells>
  <hyperlinks>
    <hyperlink ref="J1" location="Inhaltsverzeichnis!A1" display="zum Inhaltsverzeichnis" xr:uid="{4315E142-9527-472E-A9E5-AB8275F7B8EE}"/>
  </hyperlinks>
  <pageMargins left="0.7" right="0.7" top="0.78740157499999996" bottom="0.78740157499999996" header="0.3" footer="0.3"/>
  <pageSetup paperSize="9" scale="82" orientation="landscape" r:id="rId1"/>
  <colBreaks count="1" manualBreakCount="1">
    <brk id="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692D-6B83-4FE8-BE82-D78CDF966F8B}">
  <sheetPr>
    <pageSetUpPr fitToPage="1"/>
  </sheetPr>
  <dimension ref="A1:S45"/>
  <sheetViews>
    <sheetView showGridLines="0" zoomScaleNormal="100" workbookViewId="0">
      <pane ySplit="6" topLeftCell="A7" activePane="bottomLeft" state="frozen"/>
      <selection pane="bottomLeft" activeCell="B10" sqref="B10"/>
    </sheetView>
  </sheetViews>
  <sheetFormatPr baseColWidth="10" defaultColWidth="0" defaultRowHeight="15" zeroHeight="1"/>
  <cols>
    <col min="1" max="1" width="1.7109375" customWidth="1"/>
    <col min="2" max="2" width="32.140625" customWidth="1"/>
    <col min="3" max="3" width="8.28515625" customWidth="1"/>
    <col min="4" max="4" width="14.5703125" customWidth="1"/>
    <col min="5" max="5" width="20.5703125" customWidth="1"/>
    <col min="6" max="6" width="20.140625" customWidth="1"/>
    <col min="7" max="7" width="22.28515625" customWidth="1"/>
    <col min="8" max="8" width="16.140625" customWidth="1"/>
    <col min="9" max="9" width="9.140625" style="681" customWidth="1"/>
    <col min="10" max="13" width="16.140625" style="681" customWidth="1"/>
    <col min="14" max="14" width="11.5703125" style="681" customWidth="1"/>
    <col min="15" max="16" width="16.140625" style="681" customWidth="1"/>
    <col min="17" max="17" width="20.140625" style="681" customWidth="1"/>
    <col min="18" max="18" width="1.7109375" customWidth="1"/>
    <col min="19" max="19" width="21.42578125" bestFit="1" customWidth="1"/>
    <col min="20" max="16384" width="11.42578125" hidden="1"/>
  </cols>
  <sheetData>
    <row r="1" spans="2:19" ht="35.1" customHeight="1">
      <c r="B1" s="1285" t="s">
        <v>378</v>
      </c>
      <c r="C1" s="1161"/>
      <c r="D1" s="1161"/>
      <c r="E1" s="1161"/>
      <c r="F1" s="1161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S1" s="464" t="s">
        <v>269</v>
      </c>
    </row>
    <row r="2" spans="2:19" s="616" customFormat="1">
      <c r="B2" s="1166" t="s">
        <v>346</v>
      </c>
      <c r="C2" s="1166"/>
      <c r="D2" s="1166"/>
      <c r="E2" s="1166"/>
      <c r="F2" s="1166"/>
      <c r="G2" s="1166"/>
      <c r="H2" s="1166"/>
      <c r="I2" s="680"/>
      <c r="J2" s="680"/>
      <c r="K2" s="680"/>
      <c r="L2" s="680"/>
      <c r="M2" s="680"/>
      <c r="N2" s="680"/>
      <c r="O2" s="680"/>
      <c r="P2" s="680"/>
      <c r="Q2" s="680"/>
      <c r="S2" s="464"/>
    </row>
    <row r="3" spans="2:19" s="681" customFormat="1">
      <c r="B3" s="1167" t="s">
        <v>410</v>
      </c>
      <c r="C3" s="1167"/>
      <c r="D3" s="1167"/>
      <c r="E3" s="1167"/>
      <c r="F3" s="1167"/>
      <c r="G3" s="1167"/>
      <c r="H3" s="680"/>
      <c r="I3" s="680"/>
      <c r="J3" s="680"/>
      <c r="K3" s="680"/>
      <c r="L3" s="680"/>
      <c r="M3" s="680"/>
      <c r="N3" s="680"/>
      <c r="O3" s="680"/>
      <c r="P3" s="680"/>
      <c r="Q3" s="680"/>
      <c r="S3" s="464"/>
    </row>
    <row r="4" spans="2:19" s="214" customFormat="1" ht="15" customHeight="1">
      <c r="B4" s="458"/>
      <c r="I4" s="603"/>
      <c r="J4" s="603"/>
      <c r="K4" s="603"/>
      <c r="L4" s="603"/>
      <c r="M4" s="603"/>
      <c r="N4" s="603"/>
      <c r="O4" s="603"/>
      <c r="P4" s="603"/>
      <c r="Q4" s="603" t="s">
        <v>314</v>
      </c>
    </row>
    <row r="5" spans="2:19">
      <c r="B5" s="18" t="s">
        <v>75</v>
      </c>
      <c r="C5" s="1157" t="str">
        <f>Mandantendaten!C3</f>
        <v>Max Mustermann</v>
      </c>
      <c r="D5" s="1184"/>
      <c r="E5" s="1184"/>
      <c r="F5" s="1184"/>
      <c r="G5" s="1184"/>
      <c r="I5" s="686"/>
      <c r="J5" s="686"/>
      <c r="K5" s="686"/>
      <c r="L5" s="686"/>
      <c r="M5" s="686"/>
      <c r="N5" s="686"/>
      <c r="O5" s="686"/>
      <c r="P5" s="686"/>
      <c r="Q5" s="20">
        <f>Mandantendaten!C5</f>
        <v>44561</v>
      </c>
    </row>
    <row r="6" spans="2:19">
      <c r="B6" s="60"/>
      <c r="C6" s="60"/>
      <c r="D6" s="6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2:19" s="681" customFormat="1">
      <c r="B7" s="60"/>
      <c r="C7" s="60"/>
      <c r="D7" s="60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2:19" s="681" customFormat="1" ht="29.65" customHeight="1">
      <c r="B8" s="60"/>
      <c r="C8" s="1330" t="s">
        <v>390</v>
      </c>
      <c r="D8" s="1331"/>
      <c r="E8" s="1331"/>
      <c r="F8" s="1331"/>
      <c r="G8" s="1331"/>
      <c r="H8" s="1332"/>
      <c r="I8" s="1330" t="s">
        <v>391</v>
      </c>
      <c r="J8" s="1331"/>
      <c r="K8" s="1331"/>
      <c r="L8" s="1331"/>
      <c r="M8" s="1331"/>
      <c r="N8" s="1331"/>
      <c r="O8" s="1331"/>
      <c r="P8" s="1332"/>
      <c r="Q8" s="1328" t="s">
        <v>532</v>
      </c>
    </row>
    <row r="9" spans="2:19" ht="45">
      <c r="B9" s="163" t="s">
        <v>167</v>
      </c>
      <c r="C9" s="878" t="s">
        <v>132</v>
      </c>
      <c r="D9" s="879">
        <f>IF(YEAR($Q$5)=2020,$Q$5-365,IF(YEAR($Q$5)=2024,$Q$5-365,IF(YEAR($Q$5)=2025,$Q$5-365,$Q$5-364)))</f>
        <v>44197</v>
      </c>
      <c r="E9" s="880" t="s">
        <v>133</v>
      </c>
      <c r="F9" s="880" t="s">
        <v>158</v>
      </c>
      <c r="G9" s="880" t="s">
        <v>134</v>
      </c>
      <c r="H9" s="881">
        <f>$Q$5</f>
        <v>44561</v>
      </c>
      <c r="I9" s="878" t="s">
        <v>132</v>
      </c>
      <c r="J9" s="879">
        <f>IF(YEAR($Q$5)=2020,$Q$5-365,IF(YEAR($Q$5)=2024,$Q$5-365,IF(YEAR($Q$5)=2025,$Q$5-365,$Q$5-364)))</f>
        <v>44197</v>
      </c>
      <c r="K9" s="880" t="s">
        <v>133</v>
      </c>
      <c r="L9" s="880" t="s">
        <v>158</v>
      </c>
      <c r="M9" s="880" t="s">
        <v>134</v>
      </c>
      <c r="N9" s="882" t="s">
        <v>409</v>
      </c>
      <c r="O9" s="883" t="s">
        <v>408</v>
      </c>
      <c r="P9" s="884">
        <f>H9</f>
        <v>44561</v>
      </c>
      <c r="Q9" s="1329"/>
    </row>
    <row r="10" spans="2:19">
      <c r="B10" s="746" t="s">
        <v>319</v>
      </c>
      <c r="C10" s="1322">
        <v>100</v>
      </c>
      <c r="D10" s="1320"/>
      <c r="E10" s="685">
        <v>10</v>
      </c>
      <c r="F10" s="685">
        <v>20</v>
      </c>
      <c r="G10" s="181">
        <v>50</v>
      </c>
      <c r="H10" s="749">
        <f>C10-E10-F10+G10</f>
        <v>120</v>
      </c>
      <c r="I10" s="1322">
        <v>100</v>
      </c>
      <c r="J10" s="1320"/>
      <c r="K10" s="685">
        <v>5</v>
      </c>
      <c r="L10" s="685">
        <v>20</v>
      </c>
      <c r="M10" s="685">
        <v>50</v>
      </c>
      <c r="N10" s="1044">
        <f>I10-K10-L10+M10</f>
        <v>125</v>
      </c>
      <c r="O10" s="837">
        <f>IF(N10&gt;H10,H10-N10,0)</f>
        <v>-5</v>
      </c>
      <c r="P10" s="778">
        <f>N10+O10</f>
        <v>120</v>
      </c>
      <c r="Q10" s="771">
        <f>P10-H10</f>
        <v>0</v>
      </c>
    </row>
    <row r="11" spans="2:19">
      <c r="B11" s="747"/>
      <c r="C11" s="1323"/>
      <c r="D11" s="1277"/>
      <c r="E11" s="683"/>
      <c r="F11" s="683"/>
      <c r="G11" s="183"/>
      <c r="H11" s="749">
        <f>C11-E11-F11+G11</f>
        <v>0</v>
      </c>
      <c r="I11" s="1323"/>
      <c r="J11" s="1277"/>
      <c r="K11" s="683"/>
      <c r="L11" s="683"/>
      <c r="M11" s="683"/>
      <c r="N11" s="1045">
        <f>I11-K11-L11+M11</f>
        <v>0</v>
      </c>
      <c r="O11" s="838">
        <f t="shared" ref="O11:O43" si="0">IF(N11&gt;H11,H11-N11,0)</f>
        <v>0</v>
      </c>
      <c r="P11" s="778">
        <f t="shared" ref="P11:P43" si="1">N11+O11</f>
        <v>0</v>
      </c>
      <c r="Q11" s="771">
        <f t="shared" ref="Q11:Q43" si="2">P11-H11</f>
        <v>0</v>
      </c>
    </row>
    <row r="12" spans="2:19">
      <c r="B12" s="747"/>
      <c r="C12" s="1323"/>
      <c r="D12" s="1277"/>
      <c r="E12" s="683"/>
      <c r="F12" s="683"/>
      <c r="G12" s="183"/>
      <c r="H12" s="749">
        <f>C12-E12-F12+G12</f>
        <v>0</v>
      </c>
      <c r="I12" s="1323"/>
      <c r="J12" s="1277"/>
      <c r="K12" s="683"/>
      <c r="L12" s="683"/>
      <c r="M12" s="683"/>
      <c r="N12" s="1045">
        <f>I12-K12-L12+M12</f>
        <v>0</v>
      </c>
      <c r="O12" s="838">
        <f t="shared" si="0"/>
        <v>0</v>
      </c>
      <c r="P12" s="778">
        <f t="shared" si="1"/>
        <v>0</v>
      </c>
      <c r="Q12" s="771">
        <f t="shared" si="2"/>
        <v>0</v>
      </c>
    </row>
    <row r="13" spans="2:19">
      <c r="B13" s="748"/>
      <c r="C13" s="1321"/>
      <c r="D13" s="1284"/>
      <c r="E13" s="684"/>
      <c r="F13" s="684"/>
      <c r="G13" s="185"/>
      <c r="H13" s="749">
        <f>C13-E13-F13+G13</f>
        <v>0</v>
      </c>
      <c r="I13" s="1321"/>
      <c r="J13" s="1284"/>
      <c r="K13" s="684"/>
      <c r="L13" s="684"/>
      <c r="M13" s="684"/>
      <c r="N13" s="1046">
        <f>I13-K13-L13+M13</f>
        <v>0</v>
      </c>
      <c r="O13" s="839">
        <f t="shared" si="0"/>
        <v>0</v>
      </c>
      <c r="P13" s="778">
        <f t="shared" si="1"/>
        <v>0</v>
      </c>
      <c r="Q13" s="771">
        <f t="shared" si="2"/>
        <v>0</v>
      </c>
    </row>
    <row r="14" spans="2:19">
      <c r="B14" s="10"/>
      <c r="C14" s="535"/>
      <c r="D14" s="750"/>
      <c r="E14" s="751"/>
      <c r="F14" s="751"/>
      <c r="G14" s="751"/>
      <c r="H14" s="752"/>
      <c r="I14" s="535"/>
      <c r="J14" s="750"/>
      <c r="K14" s="751"/>
      <c r="L14" s="751"/>
      <c r="M14" s="751"/>
      <c r="N14" s="769"/>
      <c r="O14" s="751"/>
      <c r="P14" s="778"/>
      <c r="Q14" s="772"/>
    </row>
    <row r="15" spans="2:19">
      <c r="B15" s="83" t="s">
        <v>168</v>
      </c>
      <c r="C15" s="1324">
        <f>SUM(C10:D14)</f>
        <v>100</v>
      </c>
      <c r="D15" s="1325"/>
      <c r="E15" s="753">
        <f>SUM(E10:E14)</f>
        <v>10</v>
      </c>
      <c r="F15" s="753">
        <f>SUM(F10:F14)</f>
        <v>20</v>
      </c>
      <c r="G15" s="753">
        <f>SUM(G10:G14)</f>
        <v>50</v>
      </c>
      <c r="H15" s="754">
        <f>SUM(H10:H14)</f>
        <v>120</v>
      </c>
      <c r="I15" s="1324">
        <f>SUM(I10:J14)</f>
        <v>100</v>
      </c>
      <c r="J15" s="1325"/>
      <c r="K15" s="753">
        <f>SUM(K10:K14)</f>
        <v>5</v>
      </c>
      <c r="L15" s="753">
        <f>SUM(L10:L14)</f>
        <v>20</v>
      </c>
      <c r="M15" s="753">
        <f>SUM(M10:M14)</f>
        <v>50</v>
      </c>
      <c r="N15" s="753">
        <f>SUM(N10:N14)</f>
        <v>125</v>
      </c>
      <c r="O15" s="753">
        <f t="shared" si="0"/>
        <v>-5</v>
      </c>
      <c r="P15" s="779">
        <f t="shared" si="1"/>
        <v>120</v>
      </c>
      <c r="Q15" s="773">
        <f t="shared" si="2"/>
        <v>0</v>
      </c>
    </row>
    <row r="16" spans="2:19">
      <c r="B16" s="22"/>
      <c r="C16" s="755"/>
      <c r="D16" s="756"/>
      <c r="E16" s="757"/>
      <c r="F16" s="757"/>
      <c r="G16" s="757"/>
      <c r="H16" s="758"/>
      <c r="I16" s="755"/>
      <c r="J16" s="756"/>
      <c r="K16" s="757"/>
      <c r="L16" s="757"/>
      <c r="M16" s="757"/>
      <c r="N16" s="757"/>
      <c r="O16" s="757"/>
      <c r="P16" s="778"/>
      <c r="Q16" s="774"/>
    </row>
    <row r="17" spans="2:17" ht="45">
      <c r="B17" s="163" t="s">
        <v>169</v>
      </c>
      <c r="C17" s="766" t="s">
        <v>132</v>
      </c>
      <c r="D17" s="763">
        <f>IF(YEAR($Q$5)=2020,$Q$5-365,IF(YEAR($Q$5)=2024,$Q$5-365,IF(YEAR($Q$5)=2025,$Q$5-365,$Q$5-364)))</f>
        <v>44197</v>
      </c>
      <c r="E17" s="764" t="s">
        <v>133</v>
      </c>
      <c r="F17" s="764" t="s">
        <v>158</v>
      </c>
      <c r="G17" s="764" t="s">
        <v>134</v>
      </c>
      <c r="H17" s="765">
        <f>$Q$5</f>
        <v>44561</v>
      </c>
      <c r="I17" s="762" t="s">
        <v>132</v>
      </c>
      <c r="J17" s="763">
        <f>IF(YEAR($Q$5)=2020,$Q$5-365,IF(YEAR($Q$5)=2024,$Q$5-365,IF(YEAR($Q$5)=2025,$Q$5-365,$Q$5-364)))</f>
        <v>44197</v>
      </c>
      <c r="K17" s="764" t="s">
        <v>133</v>
      </c>
      <c r="L17" s="764" t="s">
        <v>158</v>
      </c>
      <c r="M17" s="764" t="s">
        <v>134</v>
      </c>
      <c r="N17" s="768" t="s">
        <v>409</v>
      </c>
      <c r="O17" s="767" t="s">
        <v>408</v>
      </c>
      <c r="P17" s="777">
        <v>44196</v>
      </c>
      <c r="Q17" s="775"/>
    </row>
    <row r="18" spans="2:17">
      <c r="B18" s="746"/>
      <c r="C18" s="1322"/>
      <c r="D18" s="1319"/>
      <c r="E18" s="685"/>
      <c r="F18" s="685"/>
      <c r="G18" s="181"/>
      <c r="H18" s="749">
        <f t="shared" ref="H18:H23" si="3">C18-E18-F18+G18</f>
        <v>0</v>
      </c>
      <c r="I18" s="1322"/>
      <c r="J18" s="1319"/>
      <c r="K18" s="685"/>
      <c r="L18" s="685"/>
      <c r="M18" s="685"/>
      <c r="N18" s="781">
        <f t="shared" ref="N18:N23" si="4">I18-K18-L18+M18</f>
        <v>0</v>
      </c>
      <c r="O18" s="837">
        <f t="shared" si="0"/>
        <v>0</v>
      </c>
      <c r="P18" s="778">
        <f t="shared" si="1"/>
        <v>0</v>
      </c>
      <c r="Q18" s="771">
        <f t="shared" si="2"/>
        <v>0</v>
      </c>
    </row>
    <row r="19" spans="2:17">
      <c r="B19" s="747"/>
      <c r="C19" s="1323"/>
      <c r="D19" s="1277"/>
      <c r="E19" s="683"/>
      <c r="F19" s="683"/>
      <c r="G19" s="183"/>
      <c r="H19" s="749">
        <f t="shared" si="3"/>
        <v>0</v>
      </c>
      <c r="I19" s="1323"/>
      <c r="J19" s="1277"/>
      <c r="K19" s="683"/>
      <c r="L19" s="683"/>
      <c r="M19" s="683"/>
      <c r="N19" s="770">
        <f t="shared" si="4"/>
        <v>0</v>
      </c>
      <c r="O19" s="838">
        <f t="shared" si="0"/>
        <v>0</v>
      </c>
      <c r="P19" s="778">
        <f t="shared" si="1"/>
        <v>0</v>
      </c>
      <c r="Q19" s="771">
        <f t="shared" si="2"/>
        <v>0</v>
      </c>
    </row>
    <row r="20" spans="2:17">
      <c r="B20" s="747"/>
      <c r="C20" s="1323"/>
      <c r="D20" s="1277"/>
      <c r="E20" s="683"/>
      <c r="F20" s="683"/>
      <c r="G20" s="183"/>
      <c r="H20" s="749">
        <f t="shared" si="3"/>
        <v>0</v>
      </c>
      <c r="I20" s="1323"/>
      <c r="J20" s="1277"/>
      <c r="K20" s="683"/>
      <c r="L20" s="683"/>
      <c r="M20" s="683"/>
      <c r="N20" s="770">
        <f t="shared" si="4"/>
        <v>0</v>
      </c>
      <c r="O20" s="838">
        <f t="shared" si="0"/>
        <v>0</v>
      </c>
      <c r="P20" s="778">
        <f t="shared" si="1"/>
        <v>0</v>
      </c>
      <c r="Q20" s="771">
        <f t="shared" si="2"/>
        <v>0</v>
      </c>
    </row>
    <row r="21" spans="2:17">
      <c r="B21" s="747"/>
      <c r="C21" s="1323"/>
      <c r="D21" s="1277"/>
      <c r="E21" s="683"/>
      <c r="F21" s="683"/>
      <c r="G21" s="183"/>
      <c r="H21" s="749">
        <f t="shared" si="3"/>
        <v>0</v>
      </c>
      <c r="I21" s="1323"/>
      <c r="J21" s="1277"/>
      <c r="K21" s="683"/>
      <c r="L21" s="683"/>
      <c r="M21" s="683"/>
      <c r="N21" s="770">
        <f t="shared" si="4"/>
        <v>0</v>
      </c>
      <c r="O21" s="838">
        <f t="shared" si="0"/>
        <v>0</v>
      </c>
      <c r="P21" s="778">
        <f t="shared" si="1"/>
        <v>0</v>
      </c>
      <c r="Q21" s="771">
        <f t="shared" si="2"/>
        <v>0</v>
      </c>
    </row>
    <row r="22" spans="2:17">
      <c r="B22" s="747"/>
      <c r="C22" s="1323"/>
      <c r="D22" s="1277"/>
      <c r="E22" s="683"/>
      <c r="F22" s="683"/>
      <c r="G22" s="183"/>
      <c r="H22" s="749">
        <f t="shared" si="3"/>
        <v>0</v>
      </c>
      <c r="I22" s="1323"/>
      <c r="J22" s="1277"/>
      <c r="K22" s="683"/>
      <c r="L22" s="683"/>
      <c r="M22" s="683"/>
      <c r="N22" s="770">
        <f t="shared" si="4"/>
        <v>0</v>
      </c>
      <c r="O22" s="838">
        <f t="shared" si="0"/>
        <v>0</v>
      </c>
      <c r="P22" s="778">
        <f t="shared" si="1"/>
        <v>0</v>
      </c>
      <c r="Q22" s="771">
        <f t="shared" si="2"/>
        <v>0</v>
      </c>
    </row>
    <row r="23" spans="2:17">
      <c r="B23" s="748"/>
      <c r="C23" s="1321"/>
      <c r="D23" s="1284"/>
      <c r="E23" s="684"/>
      <c r="F23" s="684"/>
      <c r="G23" s="185"/>
      <c r="H23" s="749">
        <f t="shared" si="3"/>
        <v>0</v>
      </c>
      <c r="I23" s="1321"/>
      <c r="J23" s="1284"/>
      <c r="K23" s="684"/>
      <c r="L23" s="684"/>
      <c r="M23" s="684"/>
      <c r="N23" s="782">
        <f t="shared" si="4"/>
        <v>0</v>
      </c>
      <c r="O23" s="839">
        <f t="shared" si="0"/>
        <v>0</v>
      </c>
      <c r="P23" s="778">
        <f t="shared" si="1"/>
        <v>0</v>
      </c>
      <c r="Q23" s="771">
        <f t="shared" si="2"/>
        <v>0</v>
      </c>
    </row>
    <row r="24" spans="2:17">
      <c r="B24" s="10"/>
      <c r="C24" s="535"/>
      <c r="D24" s="750"/>
      <c r="E24" s="751"/>
      <c r="F24" s="751"/>
      <c r="G24" s="751"/>
      <c r="H24" s="752"/>
      <c r="I24" s="535"/>
      <c r="J24" s="750"/>
      <c r="K24" s="751"/>
      <c r="L24" s="751"/>
      <c r="M24" s="751"/>
      <c r="N24" s="769"/>
      <c r="O24" s="751"/>
      <c r="P24" s="778">
        <f t="shared" si="1"/>
        <v>0</v>
      </c>
      <c r="Q24" s="772">
        <f t="shared" si="2"/>
        <v>0</v>
      </c>
    </row>
    <row r="25" spans="2:17">
      <c r="B25" s="83" t="s">
        <v>170</v>
      </c>
      <c r="C25" s="1324">
        <f>SUM(C18:D24)</f>
        <v>0</v>
      </c>
      <c r="D25" s="1325"/>
      <c r="E25" s="753">
        <f>SUM(E18:E24)</f>
        <v>0</v>
      </c>
      <c r="F25" s="753">
        <f>SUM(F18:F24)</f>
        <v>0</v>
      </c>
      <c r="G25" s="753">
        <f>SUM(G18:G24)</f>
        <v>0</v>
      </c>
      <c r="H25" s="754">
        <f>SUM(H18:H24)</f>
        <v>0</v>
      </c>
      <c r="I25" s="1324">
        <f>SUM(I18:J24)</f>
        <v>0</v>
      </c>
      <c r="J25" s="1325"/>
      <c r="K25" s="753">
        <f>SUM(K18:K24)</f>
        <v>0</v>
      </c>
      <c r="L25" s="753">
        <f>SUM(L18:L24)</f>
        <v>0</v>
      </c>
      <c r="M25" s="753">
        <f>SUM(M18:M24)</f>
        <v>0</v>
      </c>
      <c r="N25" s="753">
        <f>SUM(N18:N24)</f>
        <v>0</v>
      </c>
      <c r="O25" s="753">
        <f t="shared" si="0"/>
        <v>0</v>
      </c>
      <c r="P25" s="779">
        <f t="shared" si="1"/>
        <v>0</v>
      </c>
      <c r="Q25" s="773">
        <f t="shared" si="2"/>
        <v>0</v>
      </c>
    </row>
    <row r="26" spans="2:17">
      <c r="B26" s="22"/>
      <c r="C26" s="755"/>
      <c r="D26" s="756"/>
      <c r="E26" s="757"/>
      <c r="F26" s="757"/>
      <c r="G26" s="757"/>
      <c r="H26" s="758"/>
      <c r="I26" s="755"/>
      <c r="J26" s="756"/>
      <c r="K26" s="757"/>
      <c r="L26" s="757"/>
      <c r="M26" s="757"/>
      <c r="N26" s="757"/>
      <c r="O26" s="757"/>
      <c r="P26" s="778"/>
      <c r="Q26" s="774"/>
    </row>
    <row r="27" spans="2:17" ht="45">
      <c r="B27" s="163" t="s">
        <v>171</v>
      </c>
      <c r="C27" s="762" t="s">
        <v>132</v>
      </c>
      <c r="D27" s="763">
        <f>IF(YEAR($Q$5)=2020,$Q$5-365,IF(YEAR($Q$5)=2024,$Q$5-365,IF(YEAR($Q$5)=2025,$Q$5-365,$Q$5-364)))</f>
        <v>44197</v>
      </c>
      <c r="E27" s="764" t="s">
        <v>133</v>
      </c>
      <c r="F27" s="764" t="s">
        <v>158</v>
      </c>
      <c r="G27" s="764" t="s">
        <v>134</v>
      </c>
      <c r="H27" s="765">
        <f>$Q$5</f>
        <v>44561</v>
      </c>
      <c r="I27" s="762" t="s">
        <v>132</v>
      </c>
      <c r="J27" s="763">
        <f>IF(YEAR($Q$5)=2020,$Q$5-365,IF(YEAR($Q$5)=2024,$Q$5-365,IF(YEAR($Q$5)=2025,$Q$5-365,$Q$5-364)))</f>
        <v>44197</v>
      </c>
      <c r="K27" s="764" t="s">
        <v>133</v>
      </c>
      <c r="L27" s="764" t="s">
        <v>158</v>
      </c>
      <c r="M27" s="764" t="s">
        <v>134</v>
      </c>
      <c r="N27" s="768" t="s">
        <v>409</v>
      </c>
      <c r="O27" s="767" t="s">
        <v>408</v>
      </c>
      <c r="P27" s="777">
        <v>44196</v>
      </c>
      <c r="Q27" s="775"/>
    </row>
    <row r="28" spans="2:17">
      <c r="B28" s="746"/>
      <c r="C28" s="1322"/>
      <c r="D28" s="1319"/>
      <c r="E28" s="685"/>
      <c r="F28" s="685"/>
      <c r="G28" s="181"/>
      <c r="H28" s="749">
        <f>C28-E28-F28+G28</f>
        <v>0</v>
      </c>
      <c r="I28" s="1322"/>
      <c r="J28" s="1319"/>
      <c r="K28" s="685"/>
      <c r="L28" s="685"/>
      <c r="M28" s="685"/>
      <c r="N28" s="781">
        <f>I28-K28-L28+M28</f>
        <v>0</v>
      </c>
      <c r="O28" s="837">
        <f t="shared" si="0"/>
        <v>0</v>
      </c>
      <c r="P28" s="778">
        <f t="shared" si="1"/>
        <v>0</v>
      </c>
      <c r="Q28" s="771">
        <f t="shared" si="2"/>
        <v>0</v>
      </c>
    </row>
    <row r="29" spans="2:17">
      <c r="B29" s="747"/>
      <c r="C29" s="1323"/>
      <c r="D29" s="1277"/>
      <c r="E29" s="683"/>
      <c r="F29" s="683"/>
      <c r="G29" s="183"/>
      <c r="H29" s="749">
        <f>C29-E29-F29+G29</f>
        <v>0</v>
      </c>
      <c r="I29" s="1323"/>
      <c r="J29" s="1277"/>
      <c r="K29" s="683"/>
      <c r="L29" s="683"/>
      <c r="M29" s="683"/>
      <c r="N29" s="770">
        <f>I29-K29-L29+M29</f>
        <v>0</v>
      </c>
      <c r="O29" s="838">
        <f t="shared" si="0"/>
        <v>0</v>
      </c>
      <c r="P29" s="778">
        <f t="shared" si="1"/>
        <v>0</v>
      </c>
      <c r="Q29" s="771">
        <f t="shared" si="2"/>
        <v>0</v>
      </c>
    </row>
    <row r="30" spans="2:17">
      <c r="B30" s="747"/>
      <c r="C30" s="1323"/>
      <c r="D30" s="1277"/>
      <c r="E30" s="683"/>
      <c r="F30" s="683"/>
      <c r="G30" s="183"/>
      <c r="H30" s="749">
        <f>C30-E30-F30+G30</f>
        <v>0</v>
      </c>
      <c r="I30" s="1323"/>
      <c r="J30" s="1277"/>
      <c r="K30" s="683"/>
      <c r="L30" s="683"/>
      <c r="M30" s="683"/>
      <c r="N30" s="770">
        <f>I30-K30-L30+M30</f>
        <v>0</v>
      </c>
      <c r="O30" s="838">
        <f t="shared" si="0"/>
        <v>0</v>
      </c>
      <c r="P30" s="778">
        <f t="shared" si="1"/>
        <v>0</v>
      </c>
      <c r="Q30" s="771">
        <f t="shared" si="2"/>
        <v>0</v>
      </c>
    </row>
    <row r="31" spans="2:17">
      <c r="B31" s="748"/>
      <c r="C31" s="1321"/>
      <c r="D31" s="1284"/>
      <c r="E31" s="684"/>
      <c r="F31" s="684"/>
      <c r="G31" s="185"/>
      <c r="H31" s="749">
        <f>C31-E31-F31+G31</f>
        <v>0</v>
      </c>
      <c r="I31" s="1321"/>
      <c r="J31" s="1284"/>
      <c r="K31" s="684"/>
      <c r="L31" s="684"/>
      <c r="M31" s="684"/>
      <c r="N31" s="782">
        <f>I31-K31-L31+M31</f>
        <v>0</v>
      </c>
      <c r="O31" s="839">
        <f t="shared" si="0"/>
        <v>0</v>
      </c>
      <c r="P31" s="778">
        <f t="shared" si="1"/>
        <v>0</v>
      </c>
      <c r="Q31" s="771">
        <f t="shared" si="2"/>
        <v>0</v>
      </c>
    </row>
    <row r="32" spans="2:17">
      <c r="B32" s="10"/>
      <c r="C32" s="535"/>
      <c r="D32" s="750"/>
      <c r="E32" s="751"/>
      <c r="F32" s="751"/>
      <c r="G32" s="751"/>
      <c r="H32" s="752"/>
      <c r="I32" s="535"/>
      <c r="J32" s="750"/>
      <c r="K32" s="751"/>
      <c r="L32" s="751"/>
      <c r="M32" s="751"/>
      <c r="N32" s="769"/>
      <c r="O32" s="751"/>
      <c r="P32" s="778"/>
      <c r="Q32" s="772"/>
    </row>
    <row r="33" spans="2:17">
      <c r="B33" s="83" t="s">
        <v>345</v>
      </c>
      <c r="C33" s="1324">
        <f>SUM(C28:D32)</f>
        <v>0</v>
      </c>
      <c r="D33" s="1325"/>
      <c r="E33" s="753">
        <f>SUM(E28:E32)</f>
        <v>0</v>
      </c>
      <c r="F33" s="753">
        <f>SUM(F28:F32)</f>
        <v>0</v>
      </c>
      <c r="G33" s="753">
        <f>SUM(G28:G32)</f>
        <v>0</v>
      </c>
      <c r="H33" s="754">
        <f>SUM(H28:H32)</f>
        <v>0</v>
      </c>
      <c r="I33" s="1324">
        <f>SUM(I28:J32)</f>
        <v>0</v>
      </c>
      <c r="J33" s="1325"/>
      <c r="K33" s="753">
        <f>SUM(K28:K32)</f>
        <v>0</v>
      </c>
      <c r="L33" s="753">
        <f>SUM(L28:L32)</f>
        <v>0</v>
      </c>
      <c r="M33" s="753">
        <f>SUM(M28:M32)</f>
        <v>0</v>
      </c>
      <c r="N33" s="753">
        <f>SUM(N28:N32)</f>
        <v>0</v>
      </c>
      <c r="O33" s="753">
        <f t="shared" si="0"/>
        <v>0</v>
      </c>
      <c r="P33" s="779">
        <f t="shared" si="1"/>
        <v>0</v>
      </c>
      <c r="Q33" s="773">
        <f t="shared" si="2"/>
        <v>0</v>
      </c>
    </row>
    <row r="34" spans="2:17">
      <c r="B34" s="22"/>
      <c r="C34" s="755"/>
      <c r="D34" s="756"/>
      <c r="E34" s="757"/>
      <c r="F34" s="757"/>
      <c r="G34" s="757"/>
      <c r="H34" s="758"/>
      <c r="I34" s="755"/>
      <c r="J34" s="756"/>
      <c r="K34" s="757"/>
      <c r="L34" s="757"/>
      <c r="M34" s="757"/>
      <c r="N34" s="757"/>
      <c r="O34" s="757"/>
      <c r="P34" s="778"/>
      <c r="Q34" s="774"/>
    </row>
    <row r="35" spans="2:17" ht="45">
      <c r="B35" s="163" t="s">
        <v>172</v>
      </c>
      <c r="C35" s="762" t="s">
        <v>132</v>
      </c>
      <c r="D35" s="763">
        <f>IF(YEAR($Q$5)=2020,$Q$5-365,IF(YEAR($Q$5)=2024,$Q$5-365,IF(YEAR($Q$5)=2025,$Q$5-365,$Q$5-364)))</f>
        <v>44197</v>
      </c>
      <c r="E35" s="764" t="s">
        <v>133</v>
      </c>
      <c r="F35" s="764" t="s">
        <v>158</v>
      </c>
      <c r="G35" s="764" t="s">
        <v>134</v>
      </c>
      <c r="H35" s="765">
        <f>$Q$5</f>
        <v>44561</v>
      </c>
      <c r="I35" s="762" t="s">
        <v>132</v>
      </c>
      <c r="J35" s="763">
        <f>IF(YEAR($Q$5)=2020,$Q$5-365,IF(YEAR($Q$5)=2024,$Q$5-365,IF(YEAR($Q$5)=2025,$Q$5-365,$Q$5-364)))</f>
        <v>44197</v>
      </c>
      <c r="K35" s="764" t="s">
        <v>133</v>
      </c>
      <c r="L35" s="764" t="s">
        <v>158</v>
      </c>
      <c r="M35" s="764" t="s">
        <v>134</v>
      </c>
      <c r="N35" s="768" t="s">
        <v>409</v>
      </c>
      <c r="O35" s="767" t="s">
        <v>408</v>
      </c>
      <c r="P35" s="777">
        <v>44196</v>
      </c>
      <c r="Q35" s="775"/>
    </row>
    <row r="36" spans="2:17">
      <c r="B36" s="746"/>
      <c r="C36" s="1322"/>
      <c r="D36" s="1319"/>
      <c r="E36" s="685"/>
      <c r="F36" s="685"/>
      <c r="G36" s="181"/>
      <c r="H36" s="749">
        <f>C36-E36-F36+G36</f>
        <v>0</v>
      </c>
      <c r="I36" s="1322"/>
      <c r="J36" s="1319"/>
      <c r="K36" s="685"/>
      <c r="L36" s="685"/>
      <c r="M36" s="685"/>
      <c r="N36" s="781">
        <f>I36-K36-L36+M36</f>
        <v>0</v>
      </c>
      <c r="O36" s="837">
        <f t="shared" si="0"/>
        <v>0</v>
      </c>
      <c r="P36" s="778">
        <f t="shared" si="1"/>
        <v>0</v>
      </c>
      <c r="Q36" s="771">
        <f t="shared" si="2"/>
        <v>0</v>
      </c>
    </row>
    <row r="37" spans="2:17">
      <c r="B37" s="747"/>
      <c r="C37" s="1323"/>
      <c r="D37" s="1277"/>
      <c r="E37" s="683"/>
      <c r="F37" s="683"/>
      <c r="G37" s="183"/>
      <c r="H37" s="749">
        <f>C37-E37-F37+G37</f>
        <v>0</v>
      </c>
      <c r="I37" s="1323"/>
      <c r="J37" s="1277"/>
      <c r="K37" s="683"/>
      <c r="L37" s="683"/>
      <c r="M37" s="683"/>
      <c r="N37" s="770">
        <f>I37-K37-L37+M37</f>
        <v>0</v>
      </c>
      <c r="O37" s="838">
        <f t="shared" si="0"/>
        <v>0</v>
      </c>
      <c r="P37" s="778">
        <f t="shared" si="1"/>
        <v>0</v>
      </c>
      <c r="Q37" s="771">
        <f t="shared" si="2"/>
        <v>0</v>
      </c>
    </row>
    <row r="38" spans="2:17">
      <c r="B38" s="747"/>
      <c r="C38" s="1323"/>
      <c r="D38" s="1277"/>
      <c r="E38" s="683"/>
      <c r="F38" s="683"/>
      <c r="G38" s="183"/>
      <c r="H38" s="749">
        <f>C38-E38-F38+G38</f>
        <v>0</v>
      </c>
      <c r="I38" s="1323"/>
      <c r="J38" s="1277"/>
      <c r="K38" s="683"/>
      <c r="L38" s="683"/>
      <c r="M38" s="683"/>
      <c r="N38" s="770">
        <f>I38-K38-L38+M38</f>
        <v>0</v>
      </c>
      <c r="O38" s="838">
        <f t="shared" si="0"/>
        <v>0</v>
      </c>
      <c r="P38" s="778">
        <f t="shared" si="1"/>
        <v>0</v>
      </c>
      <c r="Q38" s="771">
        <f t="shared" si="2"/>
        <v>0</v>
      </c>
    </row>
    <row r="39" spans="2:17">
      <c r="B39" s="748"/>
      <c r="C39" s="1321"/>
      <c r="D39" s="1284"/>
      <c r="E39" s="684"/>
      <c r="F39" s="684"/>
      <c r="G39" s="185"/>
      <c r="H39" s="749">
        <f>C39-E39-F39+G39</f>
        <v>0</v>
      </c>
      <c r="I39" s="1321"/>
      <c r="J39" s="1284"/>
      <c r="K39" s="684"/>
      <c r="L39" s="684"/>
      <c r="M39" s="684"/>
      <c r="N39" s="782">
        <f>I39-K39-L39+M39</f>
        <v>0</v>
      </c>
      <c r="O39" s="839">
        <f t="shared" si="0"/>
        <v>0</v>
      </c>
      <c r="P39" s="778">
        <f t="shared" si="1"/>
        <v>0</v>
      </c>
      <c r="Q39" s="771">
        <f t="shared" si="2"/>
        <v>0</v>
      </c>
    </row>
    <row r="40" spans="2:17">
      <c r="B40" s="10"/>
      <c r="C40" s="535"/>
      <c r="D40" s="750"/>
      <c r="E40" s="751"/>
      <c r="F40" s="751"/>
      <c r="G40" s="751"/>
      <c r="H40" s="752"/>
      <c r="I40" s="535"/>
      <c r="J40" s="750"/>
      <c r="K40" s="751"/>
      <c r="L40" s="751"/>
      <c r="M40" s="751"/>
      <c r="N40" s="769"/>
      <c r="O40" s="751"/>
      <c r="P40" s="778"/>
      <c r="Q40" s="772"/>
    </row>
    <row r="41" spans="2:17">
      <c r="B41" s="83" t="s">
        <v>275</v>
      </c>
      <c r="C41" s="1324">
        <f>SUM(C36:D40)</f>
        <v>0</v>
      </c>
      <c r="D41" s="1325"/>
      <c r="E41" s="753">
        <f>SUM(E36:E40)</f>
        <v>0</v>
      </c>
      <c r="F41" s="753">
        <f>SUM(F36:F40)</f>
        <v>0</v>
      </c>
      <c r="G41" s="753">
        <f>SUM(G36:G40)</f>
        <v>0</v>
      </c>
      <c r="H41" s="754">
        <f>SUM(H36:H40)</f>
        <v>0</v>
      </c>
      <c r="I41" s="1324">
        <f>SUM(I36:J40)</f>
        <v>0</v>
      </c>
      <c r="J41" s="1325"/>
      <c r="K41" s="753">
        <f>SUM(K36:K40)</f>
        <v>0</v>
      </c>
      <c r="L41" s="753">
        <f>SUM(L36:L40)</f>
        <v>0</v>
      </c>
      <c r="M41" s="753">
        <f>SUM(M36:M40)</f>
        <v>0</v>
      </c>
      <c r="N41" s="753">
        <f>SUM(N36:N40)</f>
        <v>0</v>
      </c>
      <c r="O41" s="753">
        <f t="shared" si="0"/>
        <v>0</v>
      </c>
      <c r="P41" s="779">
        <f t="shared" si="1"/>
        <v>0</v>
      </c>
      <c r="Q41" s="773">
        <f t="shared" si="2"/>
        <v>0</v>
      </c>
    </row>
    <row r="42" spans="2:17">
      <c r="B42" s="22"/>
      <c r="C42" s="755"/>
      <c r="D42" s="756"/>
      <c r="E42" s="759"/>
      <c r="F42" s="759"/>
      <c r="G42" s="759"/>
      <c r="H42" s="752"/>
      <c r="I42" s="755"/>
      <c r="J42" s="756"/>
      <c r="K42" s="759"/>
      <c r="L42" s="759"/>
      <c r="M42" s="759"/>
      <c r="N42" s="769"/>
      <c r="O42" s="759"/>
      <c r="P42" s="778"/>
      <c r="Q42" s="772"/>
    </row>
    <row r="43" spans="2:17">
      <c r="B43" s="83" t="s">
        <v>166</v>
      </c>
      <c r="C43" s="1326">
        <f>C41+C33+C25+C15</f>
        <v>100</v>
      </c>
      <c r="D43" s="1327"/>
      <c r="E43" s="760">
        <f>E41+E33+E25+E15</f>
        <v>10</v>
      </c>
      <c r="F43" s="760">
        <f>F41+F33+F25+F15</f>
        <v>20</v>
      </c>
      <c r="G43" s="760">
        <f>G41+G33+G25+G15</f>
        <v>50</v>
      </c>
      <c r="H43" s="761">
        <f>H41+H33+H25+H15</f>
        <v>120</v>
      </c>
      <c r="I43" s="1326">
        <f>I41+I33+I25+I15</f>
        <v>100</v>
      </c>
      <c r="J43" s="1327"/>
      <c r="K43" s="760">
        <f>K41+K33+K25+K15</f>
        <v>5</v>
      </c>
      <c r="L43" s="760">
        <f>L41+L33+L25+L15</f>
        <v>20</v>
      </c>
      <c r="M43" s="760">
        <f>M41+M33+M25+M15</f>
        <v>50</v>
      </c>
      <c r="N43" s="760">
        <f>N41+N33+N25+N15</f>
        <v>125</v>
      </c>
      <c r="O43" s="760">
        <f t="shared" si="0"/>
        <v>-5</v>
      </c>
      <c r="P43" s="780">
        <f t="shared" si="1"/>
        <v>120</v>
      </c>
      <c r="Q43" s="776">
        <f t="shared" si="2"/>
        <v>0</v>
      </c>
    </row>
    <row r="44" spans="2:17">
      <c r="B44" s="90"/>
      <c r="C44" s="90"/>
      <c r="D44" s="90"/>
      <c r="E44" s="91"/>
      <c r="F44" s="91"/>
      <c r="G44" s="91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2:17"/>
  </sheetData>
  <sheetProtection algorithmName="SHA-512" hashValue="PMyBh6F/rQmnT5JP/d0i05A4TlYcGqlfS5FR5wMZK0ITEUx09uGqeDIO5m8aLWzYch9fZvpWikoy0bT6LSl0OA==" saltValue="HzlyqI/3gA+cprHAMI1sbQ==" spinCount="100000" sheet="1" objects="1" scenarios="1"/>
  <mergeCells count="53">
    <mergeCell ref="B1:F1"/>
    <mergeCell ref="Q8:Q9"/>
    <mergeCell ref="I39:J39"/>
    <mergeCell ref="I41:J41"/>
    <mergeCell ref="I43:J43"/>
    <mergeCell ref="C8:H8"/>
    <mergeCell ref="I8:P8"/>
    <mergeCell ref="I31:J31"/>
    <mergeCell ref="I33:J33"/>
    <mergeCell ref="I36:J36"/>
    <mergeCell ref="I37:J37"/>
    <mergeCell ref="I38:J38"/>
    <mergeCell ref="I23:J23"/>
    <mergeCell ref="I25:J25"/>
    <mergeCell ref="I28:J28"/>
    <mergeCell ref="I29:J29"/>
    <mergeCell ref="I30:J30"/>
    <mergeCell ref="I18:J18"/>
    <mergeCell ref="I19:J19"/>
    <mergeCell ref="I20:J20"/>
    <mergeCell ref="I21:J21"/>
    <mergeCell ref="I22:J22"/>
    <mergeCell ref="I10:J10"/>
    <mergeCell ref="I11:J11"/>
    <mergeCell ref="I12:J12"/>
    <mergeCell ref="I13:J13"/>
    <mergeCell ref="I15:J15"/>
    <mergeCell ref="C43:D43"/>
    <mergeCell ref="C33:D33"/>
    <mergeCell ref="C36:D36"/>
    <mergeCell ref="C37:D37"/>
    <mergeCell ref="C38:D38"/>
    <mergeCell ref="C39:D39"/>
    <mergeCell ref="C41:D41"/>
    <mergeCell ref="C31:D31"/>
    <mergeCell ref="C15:D15"/>
    <mergeCell ref="C18:D18"/>
    <mergeCell ref="C19:D19"/>
    <mergeCell ref="C20:D20"/>
    <mergeCell ref="C21:D21"/>
    <mergeCell ref="C22:D22"/>
    <mergeCell ref="C23:D23"/>
    <mergeCell ref="C25:D25"/>
    <mergeCell ref="C28:D28"/>
    <mergeCell ref="C29:D29"/>
    <mergeCell ref="C30:D30"/>
    <mergeCell ref="B2:H2"/>
    <mergeCell ref="B3:G3"/>
    <mergeCell ref="C13:D13"/>
    <mergeCell ref="C5:G5"/>
    <mergeCell ref="C10:D10"/>
    <mergeCell ref="C11:D11"/>
    <mergeCell ref="C12:D12"/>
  </mergeCells>
  <hyperlinks>
    <hyperlink ref="S1" location="Inhaltsverzeichnis!A1" display="zum Inhaltsverzeichnis" xr:uid="{5B8EA740-E855-49ED-956A-9C3DC55326C5}"/>
  </hyperlinks>
  <pageMargins left="0.7" right="0.7" top="0.78740157499999996" bottom="0.78740157499999996" header="0.3" footer="0.3"/>
  <pageSetup paperSize="9" scale="47" orientation="landscape" r:id="rId1"/>
  <colBreaks count="1" manualBreakCount="1">
    <brk id="18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DA3D-9FC5-4BC1-9C26-2A504CD8A01F}">
  <sheetPr>
    <pageSetUpPr fitToPage="1"/>
  </sheetPr>
  <dimension ref="A1:R33"/>
  <sheetViews>
    <sheetView showGridLines="0" zoomScaleNormal="100" workbookViewId="0">
      <pane ySplit="9" topLeftCell="A10" activePane="bottomLeft" state="frozen"/>
      <selection pane="bottomLeft" activeCell="B10" sqref="B10"/>
    </sheetView>
  </sheetViews>
  <sheetFormatPr baseColWidth="10" defaultColWidth="0" defaultRowHeight="15"/>
  <cols>
    <col min="1" max="1" width="1.7109375" customWidth="1"/>
    <col min="2" max="2" width="23.85546875" customWidth="1"/>
    <col min="3" max="3" width="11.7109375" customWidth="1"/>
    <col min="4" max="4" width="15.28515625" style="681" customWidth="1"/>
    <col min="5" max="5" width="10.42578125" customWidth="1"/>
    <col min="6" max="6" width="26.28515625" customWidth="1"/>
    <col min="7" max="7" width="34" customWidth="1"/>
    <col min="8" max="8" width="13.85546875" customWidth="1"/>
    <col min="9" max="9" width="25.42578125" customWidth="1"/>
    <col min="10" max="10" width="16.42578125" customWidth="1"/>
    <col min="11" max="11" width="10.28515625" style="681" customWidth="1"/>
    <col min="12" max="13" width="14.42578125" style="681" customWidth="1"/>
    <col min="14" max="14" width="15.7109375" style="681" customWidth="1"/>
    <col min="15" max="15" width="1.7109375" customWidth="1"/>
    <col min="16" max="16" width="21.140625" customWidth="1"/>
    <col min="17" max="18" width="0" hidden="1" customWidth="1"/>
    <col min="19" max="16384" width="11.42578125" hidden="1"/>
  </cols>
  <sheetData>
    <row r="1" spans="2:16" ht="35.1" customHeight="1">
      <c r="B1" s="1285" t="s">
        <v>379</v>
      </c>
      <c r="C1" s="1161"/>
      <c r="D1" s="1161"/>
      <c r="E1" s="1161"/>
      <c r="F1" s="1161"/>
      <c r="G1" s="1161"/>
      <c r="H1" s="849"/>
      <c r="I1" s="849"/>
      <c r="J1" s="849"/>
      <c r="K1" s="849"/>
      <c r="L1" s="849"/>
      <c r="M1" s="849"/>
      <c r="N1" s="849"/>
      <c r="P1" s="464" t="s">
        <v>269</v>
      </c>
    </row>
    <row r="2" spans="2:16" s="643" customFormat="1">
      <c r="B2" s="1166" t="s">
        <v>343</v>
      </c>
      <c r="C2" s="1161"/>
      <c r="D2" s="1161"/>
      <c r="E2" s="1161"/>
      <c r="F2" s="1161"/>
      <c r="G2" s="846"/>
      <c r="H2" s="1333"/>
      <c r="I2" s="1161"/>
      <c r="J2" s="1161"/>
      <c r="K2" s="846"/>
      <c r="L2" s="680"/>
      <c r="M2" s="680"/>
      <c r="N2" s="680"/>
      <c r="P2" s="644"/>
    </row>
    <row r="3" spans="2:16" s="643" customFormat="1">
      <c r="B3" s="1166" t="s">
        <v>506</v>
      </c>
      <c r="C3" s="1161"/>
      <c r="D3" s="1161"/>
      <c r="E3" s="1161"/>
      <c r="F3" s="1161"/>
      <c r="G3" s="1161"/>
      <c r="H3" s="846"/>
      <c r="I3" s="846"/>
      <c r="J3" s="846"/>
      <c r="K3" s="846"/>
      <c r="L3" s="680"/>
      <c r="M3" s="680"/>
      <c r="N3" s="680"/>
      <c r="P3" s="644"/>
    </row>
    <row r="4" spans="2:16" s="214" customFormat="1" ht="15" customHeight="1">
      <c r="B4" s="458"/>
      <c r="D4" s="681"/>
      <c r="K4" s="681"/>
      <c r="L4" s="603"/>
      <c r="M4" s="603"/>
      <c r="N4" s="603" t="s">
        <v>314</v>
      </c>
    </row>
    <row r="5" spans="2:16">
      <c r="B5" s="18" t="s">
        <v>75</v>
      </c>
      <c r="C5" s="188"/>
      <c r="D5" s="188"/>
      <c r="E5" s="1157" t="str">
        <f>Mandantendaten!C3</f>
        <v>Max Mustermann</v>
      </c>
      <c r="F5" s="1184"/>
      <c r="G5" s="1184"/>
      <c r="H5" s="1184"/>
      <c r="I5" s="1184"/>
      <c r="J5" s="1184"/>
      <c r="K5" s="682"/>
      <c r="L5" s="686"/>
      <c r="M5" s="686"/>
      <c r="N5" s="850">
        <f>Mandantendaten!C5</f>
        <v>44561</v>
      </c>
      <c r="P5" s="885"/>
    </row>
    <row r="6" spans="2:16">
      <c r="B6" s="60"/>
      <c r="C6" s="164"/>
      <c r="D6" s="164"/>
      <c r="E6" s="164"/>
      <c r="F6" s="165"/>
      <c r="G6" s="165"/>
      <c r="H6" s="165"/>
      <c r="I6" s="165"/>
      <c r="J6" s="165"/>
      <c r="K6" s="165"/>
      <c r="L6" s="165"/>
      <c r="M6" s="165"/>
      <c r="N6" s="165"/>
    </row>
    <row r="7" spans="2:16">
      <c r="B7" s="655" t="s">
        <v>173</v>
      </c>
      <c r="C7" s="1336" t="s">
        <v>347</v>
      </c>
      <c r="D7" s="1336" t="s">
        <v>412</v>
      </c>
      <c r="E7" s="1336" t="s">
        <v>348</v>
      </c>
      <c r="F7" s="1334" t="s">
        <v>533</v>
      </c>
      <c r="G7" s="1334" t="s">
        <v>534</v>
      </c>
      <c r="H7" s="1334" t="s">
        <v>535</v>
      </c>
      <c r="I7" s="1334" t="s">
        <v>413</v>
      </c>
      <c r="J7" s="1334" t="s">
        <v>536</v>
      </c>
      <c r="K7" s="1334" t="s">
        <v>414</v>
      </c>
      <c r="L7" s="656" t="s">
        <v>390</v>
      </c>
      <c r="M7" s="656" t="s">
        <v>391</v>
      </c>
      <c r="N7" s="1189" t="s">
        <v>398</v>
      </c>
    </row>
    <row r="8" spans="2:16" ht="39.75" customHeight="1">
      <c r="B8" s="657"/>
      <c r="C8" s="1337"/>
      <c r="D8" s="1337"/>
      <c r="E8" s="1337"/>
      <c r="F8" s="1335"/>
      <c r="G8" s="1335"/>
      <c r="H8" s="1335"/>
      <c r="I8" s="1335"/>
      <c r="J8" s="1335"/>
      <c r="K8" s="1335"/>
      <c r="L8" s="1047" t="s">
        <v>537</v>
      </c>
      <c r="M8" s="1047" t="s">
        <v>538</v>
      </c>
      <c r="N8" s="1191"/>
    </row>
    <row r="9" spans="2:16" ht="19.5" customHeight="1">
      <c r="B9" s="189"/>
      <c r="C9" s="190"/>
      <c r="D9" s="190"/>
      <c r="E9" s="190"/>
      <c r="F9" s="654"/>
      <c r="G9" s="191"/>
      <c r="H9" s="192"/>
      <c r="I9" s="191"/>
      <c r="J9" s="192"/>
      <c r="K9" s="192"/>
      <c r="L9" s="1048">
        <f>N5</f>
        <v>44561</v>
      </c>
      <c r="M9" s="1048">
        <f>N5</f>
        <v>44561</v>
      </c>
      <c r="N9" s="193"/>
    </row>
    <row r="10" spans="2:16">
      <c r="B10" s="194" t="s">
        <v>96</v>
      </c>
      <c r="C10" s="195">
        <v>230</v>
      </c>
      <c r="D10" s="785">
        <v>30</v>
      </c>
      <c r="E10" s="195">
        <v>10</v>
      </c>
      <c r="F10" s="645">
        <v>49000</v>
      </c>
      <c r="G10" s="646">
        <v>1000</v>
      </c>
      <c r="H10" s="196">
        <f>F10</f>
        <v>49000</v>
      </c>
      <c r="I10" s="651">
        <v>0.02</v>
      </c>
      <c r="J10" s="196">
        <f>H10*(1+I10)</f>
        <v>49980</v>
      </c>
      <c r="K10" s="1049">
        <v>0.2</v>
      </c>
      <c r="L10" s="840">
        <f>IF(J10&gt;0,(J10+(J10*K10))/(C10-D10)*E10,0)</f>
        <v>2998.8</v>
      </c>
      <c r="M10" s="840">
        <f>IF(H10&gt;0,(H10+(H10*K10))/C10*E10,0)</f>
        <v>2556.5217391304345</v>
      </c>
      <c r="N10" s="841">
        <f>M10-L10</f>
        <v>-442.27826086956566</v>
      </c>
    </row>
    <row r="11" spans="2:16">
      <c r="B11" s="783" t="s">
        <v>96</v>
      </c>
      <c r="C11" s="784">
        <v>230</v>
      </c>
      <c r="D11" s="77">
        <v>30</v>
      </c>
      <c r="E11" s="784">
        <v>10</v>
      </c>
      <c r="F11" s="786">
        <v>49000</v>
      </c>
      <c r="G11" s="787">
        <v>1000</v>
      </c>
      <c r="H11" s="196">
        <f t="shared" ref="H11:H31" si="0">F11</f>
        <v>49000</v>
      </c>
      <c r="I11" s="652">
        <v>0.02</v>
      </c>
      <c r="J11" s="196">
        <f t="shared" ref="J11:J31" si="1">H11*(1+I11)</f>
        <v>49980</v>
      </c>
      <c r="K11" s="1050">
        <v>0</v>
      </c>
      <c r="L11" s="840">
        <f t="shared" ref="L11:L31" si="2">IF(J11&gt;0,(J11+(J11*K11))/(C11-D11)*E11,0)</f>
        <v>2499</v>
      </c>
      <c r="M11" s="840">
        <f t="shared" ref="M11:M31" si="3">IF(H11&gt;0,(H11+(H11*K11))/C11*E11,0)</f>
        <v>2130.4347826086955</v>
      </c>
      <c r="N11" s="841">
        <f t="shared" ref="N11:N31" si="4">M11-L11</f>
        <v>-368.56521739130449</v>
      </c>
    </row>
    <row r="12" spans="2:16">
      <c r="B12" s="197" t="s">
        <v>96</v>
      </c>
      <c r="C12" s="77">
        <v>230</v>
      </c>
      <c r="D12" s="77">
        <v>30</v>
      </c>
      <c r="E12" s="77">
        <v>5</v>
      </c>
      <c r="F12" s="647">
        <v>50000</v>
      </c>
      <c r="G12" s="648">
        <v>0</v>
      </c>
      <c r="H12" s="196">
        <f t="shared" si="0"/>
        <v>50000</v>
      </c>
      <c r="I12" s="652">
        <v>0.05</v>
      </c>
      <c r="J12" s="196">
        <f t="shared" si="1"/>
        <v>52500</v>
      </c>
      <c r="K12" s="1050">
        <v>0</v>
      </c>
      <c r="L12" s="840">
        <f t="shared" si="2"/>
        <v>1312.5</v>
      </c>
      <c r="M12" s="840">
        <f t="shared" si="3"/>
        <v>1086.9565217391305</v>
      </c>
      <c r="N12" s="841">
        <f t="shared" si="4"/>
        <v>-225.54347826086951</v>
      </c>
    </row>
    <row r="13" spans="2:16">
      <c r="B13" s="197"/>
      <c r="C13" s="77"/>
      <c r="D13" s="77"/>
      <c r="E13" s="77"/>
      <c r="F13" s="647"/>
      <c r="G13" s="648"/>
      <c r="H13" s="196">
        <f t="shared" si="0"/>
        <v>0</v>
      </c>
      <c r="I13" s="652"/>
      <c r="J13" s="196">
        <f t="shared" si="1"/>
        <v>0</v>
      </c>
      <c r="K13" s="1050"/>
      <c r="L13" s="840">
        <f t="shared" si="2"/>
        <v>0</v>
      </c>
      <c r="M13" s="840">
        <f t="shared" si="3"/>
        <v>0</v>
      </c>
      <c r="N13" s="841">
        <f t="shared" si="4"/>
        <v>0</v>
      </c>
    </row>
    <row r="14" spans="2:16">
      <c r="B14" s="197"/>
      <c r="C14" s="77"/>
      <c r="D14" s="77"/>
      <c r="E14" s="77"/>
      <c r="F14" s="647"/>
      <c r="G14" s="648"/>
      <c r="H14" s="196">
        <f t="shared" si="0"/>
        <v>0</v>
      </c>
      <c r="I14" s="652"/>
      <c r="J14" s="196">
        <f t="shared" si="1"/>
        <v>0</v>
      </c>
      <c r="K14" s="1050"/>
      <c r="L14" s="840">
        <f t="shared" si="2"/>
        <v>0</v>
      </c>
      <c r="M14" s="840">
        <f t="shared" si="3"/>
        <v>0</v>
      </c>
      <c r="N14" s="841">
        <f t="shared" si="4"/>
        <v>0</v>
      </c>
    </row>
    <row r="15" spans="2:16">
      <c r="B15" s="197"/>
      <c r="C15" s="77"/>
      <c r="D15" s="77"/>
      <c r="E15" s="77"/>
      <c r="F15" s="647"/>
      <c r="G15" s="648"/>
      <c r="H15" s="196">
        <f t="shared" si="0"/>
        <v>0</v>
      </c>
      <c r="I15" s="652"/>
      <c r="J15" s="196">
        <f t="shared" si="1"/>
        <v>0</v>
      </c>
      <c r="K15" s="1050"/>
      <c r="L15" s="840">
        <f t="shared" si="2"/>
        <v>0</v>
      </c>
      <c r="M15" s="840">
        <f t="shared" si="3"/>
        <v>0</v>
      </c>
      <c r="N15" s="841">
        <f t="shared" si="4"/>
        <v>0</v>
      </c>
    </row>
    <row r="16" spans="2:16">
      <c r="B16" s="197"/>
      <c r="C16" s="77"/>
      <c r="D16" s="77"/>
      <c r="E16" s="77"/>
      <c r="F16" s="647"/>
      <c r="G16" s="648"/>
      <c r="H16" s="196">
        <f t="shared" si="0"/>
        <v>0</v>
      </c>
      <c r="I16" s="652"/>
      <c r="J16" s="196">
        <f t="shared" si="1"/>
        <v>0</v>
      </c>
      <c r="K16" s="1050"/>
      <c r="L16" s="840">
        <f t="shared" si="2"/>
        <v>0</v>
      </c>
      <c r="M16" s="840">
        <f t="shared" si="3"/>
        <v>0</v>
      </c>
      <c r="N16" s="841">
        <f t="shared" si="4"/>
        <v>0</v>
      </c>
    </row>
    <row r="17" spans="2:14">
      <c r="B17" s="197"/>
      <c r="C17" s="77"/>
      <c r="D17" s="77"/>
      <c r="E17" s="77"/>
      <c r="F17" s="647"/>
      <c r="G17" s="648"/>
      <c r="H17" s="196">
        <f t="shared" si="0"/>
        <v>0</v>
      </c>
      <c r="I17" s="652"/>
      <c r="J17" s="196">
        <f t="shared" si="1"/>
        <v>0</v>
      </c>
      <c r="K17" s="1050"/>
      <c r="L17" s="840">
        <f t="shared" si="2"/>
        <v>0</v>
      </c>
      <c r="M17" s="840">
        <f t="shared" si="3"/>
        <v>0</v>
      </c>
      <c r="N17" s="841">
        <f t="shared" si="4"/>
        <v>0</v>
      </c>
    </row>
    <row r="18" spans="2:14">
      <c r="B18" s="197"/>
      <c r="C18" s="77"/>
      <c r="D18" s="77"/>
      <c r="E18" s="77"/>
      <c r="F18" s="647"/>
      <c r="G18" s="648"/>
      <c r="H18" s="196">
        <f t="shared" si="0"/>
        <v>0</v>
      </c>
      <c r="I18" s="652"/>
      <c r="J18" s="196">
        <f t="shared" si="1"/>
        <v>0</v>
      </c>
      <c r="K18" s="1050"/>
      <c r="L18" s="840">
        <f t="shared" si="2"/>
        <v>0</v>
      </c>
      <c r="M18" s="840">
        <f t="shared" si="3"/>
        <v>0</v>
      </c>
      <c r="N18" s="841">
        <f t="shared" si="4"/>
        <v>0</v>
      </c>
    </row>
    <row r="19" spans="2:14">
      <c r="B19" s="197"/>
      <c r="C19" s="77"/>
      <c r="D19" s="77"/>
      <c r="E19" s="77"/>
      <c r="F19" s="647"/>
      <c r="G19" s="648"/>
      <c r="H19" s="196">
        <f t="shared" si="0"/>
        <v>0</v>
      </c>
      <c r="I19" s="652"/>
      <c r="J19" s="196">
        <f t="shared" si="1"/>
        <v>0</v>
      </c>
      <c r="K19" s="1050"/>
      <c r="L19" s="840">
        <f t="shared" si="2"/>
        <v>0</v>
      </c>
      <c r="M19" s="840">
        <f t="shared" si="3"/>
        <v>0</v>
      </c>
      <c r="N19" s="841">
        <f t="shared" si="4"/>
        <v>0</v>
      </c>
    </row>
    <row r="20" spans="2:14">
      <c r="B20" s="197"/>
      <c r="C20" s="77"/>
      <c r="D20" s="77"/>
      <c r="E20" s="77"/>
      <c r="F20" s="647"/>
      <c r="G20" s="648"/>
      <c r="H20" s="196">
        <f t="shared" si="0"/>
        <v>0</v>
      </c>
      <c r="I20" s="652"/>
      <c r="J20" s="196">
        <f t="shared" si="1"/>
        <v>0</v>
      </c>
      <c r="K20" s="1050"/>
      <c r="L20" s="840">
        <f t="shared" si="2"/>
        <v>0</v>
      </c>
      <c r="M20" s="840">
        <f t="shared" si="3"/>
        <v>0</v>
      </c>
      <c r="N20" s="841">
        <f t="shared" si="4"/>
        <v>0</v>
      </c>
    </row>
    <row r="21" spans="2:14">
      <c r="B21" s="197"/>
      <c r="C21" s="77"/>
      <c r="D21" s="77"/>
      <c r="E21" s="77"/>
      <c r="F21" s="647"/>
      <c r="G21" s="648"/>
      <c r="H21" s="196">
        <f t="shared" si="0"/>
        <v>0</v>
      </c>
      <c r="I21" s="652"/>
      <c r="J21" s="196">
        <f t="shared" si="1"/>
        <v>0</v>
      </c>
      <c r="K21" s="1050"/>
      <c r="L21" s="840">
        <f t="shared" si="2"/>
        <v>0</v>
      </c>
      <c r="M21" s="840">
        <f t="shared" si="3"/>
        <v>0</v>
      </c>
      <c r="N21" s="841">
        <f t="shared" si="4"/>
        <v>0</v>
      </c>
    </row>
    <row r="22" spans="2:14">
      <c r="B22" s="197"/>
      <c r="C22" s="77"/>
      <c r="D22" s="77"/>
      <c r="E22" s="77"/>
      <c r="F22" s="647"/>
      <c r="G22" s="648"/>
      <c r="H22" s="196">
        <f t="shared" si="0"/>
        <v>0</v>
      </c>
      <c r="I22" s="652"/>
      <c r="J22" s="196">
        <f t="shared" si="1"/>
        <v>0</v>
      </c>
      <c r="K22" s="1050"/>
      <c r="L22" s="840">
        <f t="shared" si="2"/>
        <v>0</v>
      </c>
      <c r="M22" s="840">
        <f t="shared" si="3"/>
        <v>0</v>
      </c>
      <c r="N22" s="841">
        <f t="shared" si="4"/>
        <v>0</v>
      </c>
    </row>
    <row r="23" spans="2:14">
      <c r="B23" s="197"/>
      <c r="C23" s="77"/>
      <c r="D23" s="77"/>
      <c r="E23" s="77"/>
      <c r="F23" s="647"/>
      <c r="G23" s="648"/>
      <c r="H23" s="196">
        <f t="shared" si="0"/>
        <v>0</v>
      </c>
      <c r="I23" s="652"/>
      <c r="J23" s="196">
        <f t="shared" si="1"/>
        <v>0</v>
      </c>
      <c r="K23" s="1050"/>
      <c r="L23" s="840">
        <f t="shared" si="2"/>
        <v>0</v>
      </c>
      <c r="M23" s="840">
        <f t="shared" si="3"/>
        <v>0</v>
      </c>
      <c r="N23" s="841">
        <f t="shared" si="4"/>
        <v>0</v>
      </c>
    </row>
    <row r="24" spans="2:14">
      <c r="B24" s="197"/>
      <c r="C24" s="77"/>
      <c r="D24" s="77"/>
      <c r="E24" s="77"/>
      <c r="F24" s="647"/>
      <c r="G24" s="648"/>
      <c r="H24" s="196">
        <f t="shared" si="0"/>
        <v>0</v>
      </c>
      <c r="I24" s="652"/>
      <c r="J24" s="196">
        <f t="shared" si="1"/>
        <v>0</v>
      </c>
      <c r="K24" s="1050"/>
      <c r="L24" s="840">
        <f t="shared" si="2"/>
        <v>0</v>
      </c>
      <c r="M24" s="840">
        <f t="shared" si="3"/>
        <v>0</v>
      </c>
      <c r="N24" s="841">
        <f t="shared" si="4"/>
        <v>0</v>
      </c>
    </row>
    <row r="25" spans="2:14">
      <c r="B25" s="197"/>
      <c r="C25" s="77"/>
      <c r="D25" s="77"/>
      <c r="E25" s="77"/>
      <c r="F25" s="647"/>
      <c r="G25" s="648"/>
      <c r="H25" s="196">
        <f t="shared" si="0"/>
        <v>0</v>
      </c>
      <c r="I25" s="652"/>
      <c r="J25" s="196">
        <f t="shared" si="1"/>
        <v>0</v>
      </c>
      <c r="K25" s="1050"/>
      <c r="L25" s="840">
        <f t="shared" si="2"/>
        <v>0</v>
      </c>
      <c r="M25" s="840">
        <f t="shared" si="3"/>
        <v>0</v>
      </c>
      <c r="N25" s="841">
        <f t="shared" si="4"/>
        <v>0</v>
      </c>
    </row>
    <row r="26" spans="2:14">
      <c r="B26" s="197"/>
      <c r="C26" s="77"/>
      <c r="D26" s="77"/>
      <c r="E26" s="77"/>
      <c r="F26" s="647"/>
      <c r="G26" s="648"/>
      <c r="H26" s="196">
        <f t="shared" si="0"/>
        <v>0</v>
      </c>
      <c r="I26" s="652"/>
      <c r="J26" s="196">
        <f t="shared" si="1"/>
        <v>0</v>
      </c>
      <c r="K26" s="1050"/>
      <c r="L26" s="840">
        <f t="shared" si="2"/>
        <v>0</v>
      </c>
      <c r="M26" s="840">
        <f t="shared" si="3"/>
        <v>0</v>
      </c>
      <c r="N26" s="841">
        <f t="shared" si="4"/>
        <v>0</v>
      </c>
    </row>
    <row r="27" spans="2:14">
      <c r="B27" s="197"/>
      <c r="C27" s="77"/>
      <c r="D27" s="77"/>
      <c r="E27" s="77"/>
      <c r="F27" s="647"/>
      <c r="G27" s="648"/>
      <c r="H27" s="196">
        <f t="shared" si="0"/>
        <v>0</v>
      </c>
      <c r="I27" s="652"/>
      <c r="J27" s="196">
        <f t="shared" si="1"/>
        <v>0</v>
      </c>
      <c r="K27" s="1050"/>
      <c r="L27" s="840">
        <f t="shared" si="2"/>
        <v>0</v>
      </c>
      <c r="M27" s="840">
        <f t="shared" si="3"/>
        <v>0</v>
      </c>
      <c r="N27" s="841">
        <f t="shared" si="4"/>
        <v>0</v>
      </c>
    </row>
    <row r="28" spans="2:14">
      <c r="B28" s="197"/>
      <c r="C28" s="77"/>
      <c r="D28" s="77"/>
      <c r="E28" s="77"/>
      <c r="F28" s="647"/>
      <c r="G28" s="648"/>
      <c r="H28" s="196">
        <f t="shared" si="0"/>
        <v>0</v>
      </c>
      <c r="I28" s="652"/>
      <c r="J28" s="196">
        <f t="shared" si="1"/>
        <v>0</v>
      </c>
      <c r="K28" s="1050"/>
      <c r="L28" s="840">
        <f t="shared" si="2"/>
        <v>0</v>
      </c>
      <c r="M28" s="840">
        <f t="shared" si="3"/>
        <v>0</v>
      </c>
      <c r="N28" s="841">
        <f t="shared" si="4"/>
        <v>0</v>
      </c>
    </row>
    <row r="29" spans="2:14">
      <c r="B29" s="197"/>
      <c r="C29" s="77"/>
      <c r="D29" s="77"/>
      <c r="E29" s="77"/>
      <c r="F29" s="647"/>
      <c r="G29" s="648"/>
      <c r="H29" s="196">
        <f t="shared" si="0"/>
        <v>0</v>
      </c>
      <c r="I29" s="652"/>
      <c r="J29" s="196">
        <f t="shared" si="1"/>
        <v>0</v>
      </c>
      <c r="K29" s="1050"/>
      <c r="L29" s="840">
        <f t="shared" si="2"/>
        <v>0</v>
      </c>
      <c r="M29" s="840">
        <f t="shared" si="3"/>
        <v>0</v>
      </c>
      <c r="N29" s="841">
        <f t="shared" si="4"/>
        <v>0</v>
      </c>
    </row>
    <row r="30" spans="2:14">
      <c r="B30" s="197"/>
      <c r="C30" s="77"/>
      <c r="D30" s="77"/>
      <c r="E30" s="77"/>
      <c r="F30" s="647"/>
      <c r="G30" s="648"/>
      <c r="H30" s="196">
        <f t="shared" si="0"/>
        <v>0</v>
      </c>
      <c r="I30" s="652"/>
      <c r="J30" s="196">
        <f t="shared" si="1"/>
        <v>0</v>
      </c>
      <c r="K30" s="1050"/>
      <c r="L30" s="840">
        <f t="shared" si="2"/>
        <v>0</v>
      </c>
      <c r="M30" s="840">
        <f t="shared" si="3"/>
        <v>0</v>
      </c>
      <c r="N30" s="841">
        <f t="shared" si="4"/>
        <v>0</v>
      </c>
    </row>
    <row r="31" spans="2:14">
      <c r="B31" s="198"/>
      <c r="C31" s="79"/>
      <c r="D31" s="79"/>
      <c r="E31" s="79"/>
      <c r="F31" s="649"/>
      <c r="G31" s="650"/>
      <c r="H31" s="196">
        <f t="shared" si="0"/>
        <v>0</v>
      </c>
      <c r="I31" s="653"/>
      <c r="J31" s="196">
        <f t="shared" si="1"/>
        <v>0</v>
      </c>
      <c r="K31" s="1051"/>
      <c r="L31" s="840">
        <f t="shared" si="2"/>
        <v>0</v>
      </c>
      <c r="M31" s="840">
        <f t="shared" si="3"/>
        <v>0</v>
      </c>
      <c r="N31" s="841">
        <f t="shared" si="4"/>
        <v>0</v>
      </c>
    </row>
    <row r="32" spans="2:14">
      <c r="B32" s="199"/>
      <c r="C32" s="200"/>
      <c r="D32" s="200"/>
      <c r="E32" s="200"/>
      <c r="F32" s="201"/>
      <c r="G32" s="201"/>
      <c r="H32" s="196"/>
      <c r="I32" s="201"/>
      <c r="J32" s="196"/>
      <c r="K32" s="196"/>
      <c r="L32" s="202"/>
      <c r="M32" s="202"/>
      <c r="N32" s="202"/>
    </row>
    <row r="33" spans="2:14">
      <c r="B33" s="203" t="s">
        <v>91</v>
      </c>
      <c r="C33" s="204"/>
      <c r="D33" s="204"/>
      <c r="E33" s="204"/>
      <c r="F33" s="205"/>
      <c r="G33" s="205"/>
      <c r="H33" s="206">
        <f>SUM(H10:H31)</f>
        <v>148000</v>
      </c>
      <c r="I33" s="205"/>
      <c r="J33" s="206">
        <f>SUM(J10:J31)</f>
        <v>152460</v>
      </c>
      <c r="K33" s="206"/>
      <c r="L33" s="206">
        <f t="shared" ref="L33:N33" si="5">SUM(L10:L31)</f>
        <v>6810.3</v>
      </c>
      <c r="M33" s="206">
        <f t="shared" si="5"/>
        <v>5773.9130434782601</v>
      </c>
      <c r="N33" s="206">
        <f t="shared" si="5"/>
        <v>-1036.3869565217396</v>
      </c>
    </row>
  </sheetData>
  <sheetProtection algorithmName="SHA-512" hashValue="yDVuoSLXCaDNK9Y9oJuy8+5Nya+Q4IISTLX8kZwvcuywcnWui0FxCQ6QYyEVPeTYZpBeL1RMsykws74Orfz+eQ==" saltValue="Gj5e+M3NQaUf7z3IjvNY6w==" spinCount="100000" sheet="1" objects="1" scenarios="1"/>
  <mergeCells count="15">
    <mergeCell ref="N7:N8"/>
    <mergeCell ref="E5:J5"/>
    <mergeCell ref="C7:C8"/>
    <mergeCell ref="I7:I8"/>
    <mergeCell ref="F7:F8"/>
    <mergeCell ref="G7:G8"/>
    <mergeCell ref="H7:H8"/>
    <mergeCell ref="J7:J8"/>
    <mergeCell ref="E7:E8"/>
    <mergeCell ref="D7:D8"/>
    <mergeCell ref="B1:G1"/>
    <mergeCell ref="B2:F2"/>
    <mergeCell ref="B3:G3"/>
    <mergeCell ref="H2:J2"/>
    <mergeCell ref="K7:K8"/>
  </mergeCells>
  <hyperlinks>
    <hyperlink ref="P1" location="Inhaltsverzeichnis!A1" display="zum Inhaltsverzeichnis" xr:uid="{656EB69B-FCB3-4F51-B054-4696DE4C20C3}"/>
  </hyperlinks>
  <pageMargins left="0.7" right="0.7" top="0.78740157499999996" bottom="0.78740157499999996" header="0.3" footer="0.3"/>
  <pageSetup paperSize="9" scale="55" orientation="landscape" r:id="rId1"/>
  <colBreaks count="1" manualBreakCount="1">
    <brk id="15" max="34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F248-D9ED-48EC-8329-15B4E69C9CB6}">
  <sheetPr>
    <pageSetUpPr fitToPage="1"/>
  </sheetPr>
  <dimension ref="A1:K37"/>
  <sheetViews>
    <sheetView showGridLines="0" zoomScaleNormal="100" workbookViewId="0">
      <pane ySplit="7" topLeftCell="A8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26" customWidth="1"/>
    <col min="3" max="3" width="14.85546875" customWidth="1"/>
    <col min="4" max="4" width="13.7109375" customWidth="1"/>
    <col min="5" max="5" width="12.42578125" customWidth="1"/>
    <col min="6" max="6" width="12.28515625" customWidth="1"/>
    <col min="7" max="7" width="18" customWidth="1"/>
    <col min="8" max="8" width="13.5703125" customWidth="1"/>
    <col min="9" max="9" width="13.7109375" customWidth="1"/>
    <col min="10" max="10" width="1.7109375" customWidth="1"/>
    <col min="11" max="11" width="21" customWidth="1"/>
    <col min="12" max="16384" width="11.42578125" hidden="1"/>
  </cols>
  <sheetData>
    <row r="1" spans="2:11" ht="35.1" customHeight="1">
      <c r="B1" s="1079" t="s">
        <v>416</v>
      </c>
      <c r="C1" s="1183"/>
      <c r="D1" s="1183"/>
      <c r="E1" s="1183"/>
      <c r="F1" s="1183"/>
      <c r="G1" s="1183"/>
      <c r="H1" s="1183"/>
      <c r="I1" s="1183"/>
      <c r="K1" s="464" t="s">
        <v>269</v>
      </c>
    </row>
    <row r="2" spans="2:11" s="616" customFormat="1">
      <c r="B2" s="1166" t="s">
        <v>349</v>
      </c>
      <c r="C2" s="1166"/>
      <c r="D2" s="1166"/>
      <c r="E2" s="1166"/>
      <c r="F2" s="1166"/>
      <c r="G2" s="1166"/>
      <c r="H2" s="1166"/>
      <c r="I2" s="1166"/>
      <c r="K2" s="464"/>
    </row>
    <row r="3" spans="2:11" s="681" customFormat="1">
      <c r="B3" s="1166" t="s">
        <v>415</v>
      </c>
      <c r="C3" s="1166"/>
      <c r="D3" s="1166"/>
      <c r="E3" s="1166"/>
      <c r="F3" s="1166"/>
      <c r="G3" s="1166"/>
      <c r="H3" s="1166"/>
      <c r="I3" s="680"/>
      <c r="K3" s="464"/>
    </row>
    <row r="4" spans="2:11" s="214" customFormat="1" ht="15" customHeight="1">
      <c r="B4" s="458"/>
      <c r="I4" s="603" t="s">
        <v>314</v>
      </c>
    </row>
    <row r="5" spans="2:11">
      <c r="B5" s="18" t="s">
        <v>75</v>
      </c>
      <c r="C5" s="1157" t="str">
        <f>Mandantendaten!C3</f>
        <v>Max Mustermann</v>
      </c>
      <c r="D5" s="1338"/>
      <c r="E5" s="1338"/>
      <c r="F5" s="1338"/>
      <c r="G5" s="1338"/>
      <c r="H5" s="19"/>
      <c r="I5" s="20">
        <f>Mandantendaten!C5</f>
        <v>44561</v>
      </c>
    </row>
    <row r="6" spans="2:11">
      <c r="B6" s="59"/>
      <c r="C6" s="60"/>
      <c r="D6" s="61"/>
      <c r="E6" s="62"/>
      <c r="F6" s="62"/>
      <c r="G6" s="62"/>
      <c r="H6" s="62"/>
      <c r="I6" s="63"/>
    </row>
    <row r="7" spans="2:11" ht="45">
      <c r="B7" s="26" t="s">
        <v>83</v>
      </c>
      <c r="C7" s="27" t="s">
        <v>174</v>
      </c>
      <c r="D7" s="28" t="s">
        <v>276</v>
      </c>
      <c r="E7" s="28" t="s">
        <v>323</v>
      </c>
      <c r="F7" s="28" t="s">
        <v>277</v>
      </c>
      <c r="G7" s="29" t="s">
        <v>553</v>
      </c>
      <c r="H7" s="28" t="s">
        <v>88</v>
      </c>
      <c r="I7" s="28" t="s">
        <v>351</v>
      </c>
    </row>
    <row r="8" spans="2:11">
      <c r="B8" s="30"/>
      <c r="C8" s="31"/>
      <c r="D8" s="32"/>
      <c r="E8" s="33"/>
      <c r="F8" s="33"/>
      <c r="G8" s="33"/>
      <c r="H8" s="34"/>
      <c r="I8" s="34"/>
    </row>
    <row r="9" spans="2:11">
      <c r="B9" s="449" t="s">
        <v>350</v>
      </c>
      <c r="C9" s="35"/>
      <c r="D9" s="126">
        <v>44179</v>
      </c>
      <c r="E9" s="37">
        <v>5000</v>
      </c>
      <c r="F9" s="36">
        <v>44217</v>
      </c>
      <c r="G9" s="38">
        <v>500</v>
      </c>
      <c r="H9" s="459">
        <f t="shared" ref="H9:H34" si="0">IF(F9="","noch offen",F9-D9)</f>
        <v>38</v>
      </c>
      <c r="I9" s="39">
        <f t="shared" ref="I9:I34" si="1">E9-G9</f>
        <v>4500</v>
      </c>
    </row>
    <row r="10" spans="2:11">
      <c r="B10" s="452"/>
      <c r="C10" s="41"/>
      <c r="D10" s="128"/>
      <c r="E10" s="43"/>
      <c r="F10" s="42"/>
      <c r="G10" s="44"/>
      <c r="H10" s="459" t="str">
        <f t="shared" si="0"/>
        <v>noch offen</v>
      </c>
      <c r="I10" s="39">
        <f t="shared" si="1"/>
        <v>0</v>
      </c>
    </row>
    <row r="11" spans="2:11">
      <c r="B11" s="452"/>
      <c r="C11" s="41"/>
      <c r="D11" s="128"/>
      <c r="E11" s="43"/>
      <c r="F11" s="128"/>
      <c r="G11" s="44"/>
      <c r="H11" s="459" t="str">
        <f t="shared" si="0"/>
        <v>noch offen</v>
      </c>
      <c r="I11" s="39">
        <f t="shared" si="1"/>
        <v>0</v>
      </c>
    </row>
    <row r="12" spans="2:11">
      <c r="B12" s="40"/>
      <c r="C12" s="41"/>
      <c r="D12" s="42"/>
      <c r="E12" s="43"/>
      <c r="F12" s="42"/>
      <c r="G12" s="44"/>
      <c r="H12" s="459" t="str">
        <f t="shared" si="0"/>
        <v>noch offen</v>
      </c>
      <c r="I12" s="39">
        <f t="shared" si="1"/>
        <v>0</v>
      </c>
    </row>
    <row r="13" spans="2:11">
      <c r="B13" s="40"/>
      <c r="C13" s="41"/>
      <c r="D13" s="42"/>
      <c r="E13" s="43"/>
      <c r="F13" s="42"/>
      <c r="G13" s="44"/>
      <c r="H13" s="459" t="str">
        <f t="shared" si="0"/>
        <v>noch offen</v>
      </c>
      <c r="I13" s="39">
        <f t="shared" si="1"/>
        <v>0</v>
      </c>
    </row>
    <row r="14" spans="2:11">
      <c r="B14" s="40"/>
      <c r="C14" s="41"/>
      <c r="D14" s="42"/>
      <c r="E14" s="43"/>
      <c r="F14" s="42"/>
      <c r="G14" s="44"/>
      <c r="H14" s="459" t="str">
        <f t="shared" si="0"/>
        <v>noch offen</v>
      </c>
      <c r="I14" s="39">
        <f t="shared" si="1"/>
        <v>0</v>
      </c>
    </row>
    <row r="15" spans="2:11">
      <c r="B15" s="40"/>
      <c r="C15" s="41"/>
      <c r="D15" s="42"/>
      <c r="E15" s="43"/>
      <c r="F15" s="42"/>
      <c r="G15" s="44"/>
      <c r="H15" s="459" t="str">
        <f t="shared" si="0"/>
        <v>noch offen</v>
      </c>
      <c r="I15" s="39">
        <f t="shared" si="1"/>
        <v>0</v>
      </c>
    </row>
    <row r="16" spans="2:11">
      <c r="B16" s="40"/>
      <c r="C16" s="41"/>
      <c r="D16" s="42"/>
      <c r="E16" s="43"/>
      <c r="F16" s="42"/>
      <c r="G16" s="44"/>
      <c r="H16" s="459" t="str">
        <f t="shared" si="0"/>
        <v>noch offen</v>
      </c>
      <c r="I16" s="39">
        <f t="shared" si="1"/>
        <v>0</v>
      </c>
    </row>
    <row r="17" spans="2:9">
      <c r="B17" s="40"/>
      <c r="C17" s="41"/>
      <c r="D17" s="42"/>
      <c r="E17" s="43"/>
      <c r="F17" s="42"/>
      <c r="G17" s="44"/>
      <c r="H17" s="459" t="str">
        <f t="shared" si="0"/>
        <v>noch offen</v>
      </c>
      <c r="I17" s="39">
        <f t="shared" si="1"/>
        <v>0</v>
      </c>
    </row>
    <row r="18" spans="2:9">
      <c r="B18" s="40"/>
      <c r="C18" s="41"/>
      <c r="D18" s="42"/>
      <c r="E18" s="43"/>
      <c r="F18" s="42"/>
      <c r="G18" s="44"/>
      <c r="H18" s="459" t="str">
        <f t="shared" si="0"/>
        <v>noch offen</v>
      </c>
      <c r="I18" s="39">
        <f t="shared" si="1"/>
        <v>0</v>
      </c>
    </row>
    <row r="19" spans="2:9">
      <c r="B19" s="40"/>
      <c r="C19" s="41"/>
      <c r="D19" s="42"/>
      <c r="E19" s="43"/>
      <c r="F19" s="42"/>
      <c r="G19" s="44"/>
      <c r="H19" s="459" t="str">
        <f t="shared" si="0"/>
        <v>noch offen</v>
      </c>
      <c r="I19" s="39">
        <f t="shared" si="1"/>
        <v>0</v>
      </c>
    </row>
    <row r="20" spans="2:9">
      <c r="B20" s="40"/>
      <c r="C20" s="41"/>
      <c r="D20" s="42"/>
      <c r="E20" s="43"/>
      <c r="F20" s="42"/>
      <c r="G20" s="44"/>
      <c r="H20" s="459" t="str">
        <f t="shared" si="0"/>
        <v>noch offen</v>
      </c>
      <c r="I20" s="39">
        <f t="shared" si="1"/>
        <v>0</v>
      </c>
    </row>
    <row r="21" spans="2:9">
      <c r="B21" s="40"/>
      <c r="C21" s="41"/>
      <c r="D21" s="42"/>
      <c r="E21" s="43"/>
      <c r="F21" s="42"/>
      <c r="G21" s="44"/>
      <c r="H21" s="459" t="str">
        <f t="shared" si="0"/>
        <v>noch offen</v>
      </c>
      <c r="I21" s="39">
        <f t="shared" si="1"/>
        <v>0</v>
      </c>
    </row>
    <row r="22" spans="2:9">
      <c r="B22" s="40"/>
      <c r="C22" s="41"/>
      <c r="D22" s="42"/>
      <c r="E22" s="43"/>
      <c r="F22" s="42"/>
      <c r="G22" s="44"/>
      <c r="H22" s="459" t="str">
        <f t="shared" si="0"/>
        <v>noch offen</v>
      </c>
      <c r="I22" s="39">
        <f t="shared" si="1"/>
        <v>0</v>
      </c>
    </row>
    <row r="23" spans="2:9">
      <c r="B23" s="40"/>
      <c r="C23" s="41"/>
      <c r="D23" s="42"/>
      <c r="E23" s="43"/>
      <c r="F23" s="42"/>
      <c r="G23" s="44"/>
      <c r="H23" s="459" t="str">
        <f t="shared" si="0"/>
        <v>noch offen</v>
      </c>
      <c r="I23" s="39">
        <f t="shared" si="1"/>
        <v>0</v>
      </c>
    </row>
    <row r="24" spans="2:9">
      <c r="B24" s="40"/>
      <c r="C24" s="41"/>
      <c r="D24" s="42"/>
      <c r="E24" s="43"/>
      <c r="F24" s="42"/>
      <c r="G24" s="44"/>
      <c r="H24" s="459" t="str">
        <f t="shared" si="0"/>
        <v>noch offen</v>
      </c>
      <c r="I24" s="39">
        <f t="shared" si="1"/>
        <v>0</v>
      </c>
    </row>
    <row r="25" spans="2:9">
      <c r="B25" s="40"/>
      <c r="C25" s="41"/>
      <c r="D25" s="42"/>
      <c r="E25" s="43"/>
      <c r="F25" s="42"/>
      <c r="G25" s="44"/>
      <c r="H25" s="459" t="str">
        <f t="shared" si="0"/>
        <v>noch offen</v>
      </c>
      <c r="I25" s="39">
        <f t="shared" si="1"/>
        <v>0</v>
      </c>
    </row>
    <row r="26" spans="2:9">
      <c r="B26" s="40"/>
      <c r="C26" s="41"/>
      <c r="D26" s="42"/>
      <c r="E26" s="43"/>
      <c r="F26" s="42"/>
      <c r="G26" s="44"/>
      <c r="H26" s="459" t="str">
        <f t="shared" si="0"/>
        <v>noch offen</v>
      </c>
      <c r="I26" s="39">
        <f t="shared" si="1"/>
        <v>0</v>
      </c>
    </row>
    <row r="27" spans="2:9">
      <c r="B27" s="40"/>
      <c r="C27" s="41"/>
      <c r="D27" s="42"/>
      <c r="E27" s="43"/>
      <c r="F27" s="42"/>
      <c r="G27" s="44"/>
      <c r="H27" s="459" t="str">
        <f t="shared" si="0"/>
        <v>noch offen</v>
      </c>
      <c r="I27" s="39">
        <f t="shared" si="1"/>
        <v>0</v>
      </c>
    </row>
    <row r="28" spans="2:9">
      <c r="B28" s="40"/>
      <c r="C28" s="41"/>
      <c r="D28" s="42"/>
      <c r="E28" s="43"/>
      <c r="F28" s="42"/>
      <c r="G28" s="44"/>
      <c r="H28" s="459" t="str">
        <f t="shared" si="0"/>
        <v>noch offen</v>
      </c>
      <c r="I28" s="39">
        <f t="shared" si="1"/>
        <v>0</v>
      </c>
    </row>
    <row r="29" spans="2:9">
      <c r="B29" s="40"/>
      <c r="C29" s="41"/>
      <c r="D29" s="42"/>
      <c r="E29" s="43"/>
      <c r="F29" s="42"/>
      <c r="G29" s="44"/>
      <c r="H29" s="459" t="str">
        <f t="shared" si="0"/>
        <v>noch offen</v>
      </c>
      <c r="I29" s="39">
        <f t="shared" si="1"/>
        <v>0</v>
      </c>
    </row>
    <row r="30" spans="2:9">
      <c r="B30" s="40"/>
      <c r="C30" s="41"/>
      <c r="D30" s="42"/>
      <c r="E30" s="43"/>
      <c r="F30" s="42"/>
      <c r="G30" s="44"/>
      <c r="H30" s="459" t="str">
        <f t="shared" si="0"/>
        <v>noch offen</v>
      </c>
      <c r="I30" s="39">
        <f t="shared" si="1"/>
        <v>0</v>
      </c>
    </row>
    <row r="31" spans="2:9">
      <c r="B31" s="40"/>
      <c r="C31" s="41"/>
      <c r="D31" s="42"/>
      <c r="E31" s="43"/>
      <c r="F31" s="42"/>
      <c r="G31" s="44"/>
      <c r="H31" s="459" t="str">
        <f t="shared" si="0"/>
        <v>noch offen</v>
      </c>
      <c r="I31" s="39">
        <f t="shared" si="1"/>
        <v>0</v>
      </c>
    </row>
    <row r="32" spans="2:9">
      <c r="B32" s="40"/>
      <c r="C32" s="41"/>
      <c r="D32" s="42"/>
      <c r="E32" s="43"/>
      <c r="F32" s="42"/>
      <c r="G32" s="44"/>
      <c r="H32" s="459" t="str">
        <f t="shared" si="0"/>
        <v>noch offen</v>
      </c>
      <c r="I32" s="39">
        <f t="shared" si="1"/>
        <v>0</v>
      </c>
    </row>
    <row r="33" spans="2:9">
      <c r="B33" s="40"/>
      <c r="C33" s="41"/>
      <c r="D33" s="42"/>
      <c r="E33" s="43"/>
      <c r="F33" s="42"/>
      <c r="G33" s="44"/>
      <c r="H33" s="459" t="str">
        <f t="shared" si="0"/>
        <v>noch offen</v>
      </c>
      <c r="I33" s="39">
        <f t="shared" si="1"/>
        <v>0</v>
      </c>
    </row>
    <row r="34" spans="2:9">
      <c r="B34" s="45"/>
      <c r="C34" s="46"/>
      <c r="D34" s="47"/>
      <c r="E34" s="48"/>
      <c r="F34" s="47"/>
      <c r="G34" s="49"/>
      <c r="H34" s="459" t="str">
        <f t="shared" si="0"/>
        <v>noch offen</v>
      </c>
      <c r="I34" s="39">
        <f t="shared" si="1"/>
        <v>0</v>
      </c>
    </row>
    <row r="35" spans="2:9">
      <c r="B35" s="478"/>
      <c r="C35" s="50"/>
      <c r="D35" s="51"/>
      <c r="E35" s="52"/>
      <c r="F35" s="52"/>
      <c r="G35" s="52"/>
      <c r="H35" s="53"/>
      <c r="I35" s="39"/>
    </row>
    <row r="36" spans="2:9">
      <c r="B36" s="54" t="s">
        <v>91</v>
      </c>
      <c r="C36" s="55"/>
      <c r="D36" s="56"/>
      <c r="E36" s="57"/>
      <c r="F36" s="57"/>
      <c r="G36" s="57"/>
      <c r="H36" s="58"/>
      <c r="I36" s="58">
        <f>SUM(I9:I34)</f>
        <v>4500</v>
      </c>
    </row>
    <row r="37" spans="2:9">
      <c r="B37" s="207"/>
      <c r="C37" s="208"/>
      <c r="D37" s="209"/>
      <c r="E37" s="210"/>
      <c r="F37" s="210"/>
      <c r="G37" s="210"/>
      <c r="H37" s="211"/>
      <c r="I37" s="212"/>
    </row>
  </sheetData>
  <sheetProtection algorithmName="SHA-512" hashValue="BQTyldo/YXGOnTYRRUZQPe+JidRB8HVLfWiQfNERTdratB47X74YxiA8ZfwOkooujAFmchmosH6v1fIDV93tRg==" saltValue="7AcDMvS8lzZCUuAQcSKPKg==" spinCount="100000" sheet="1" objects="1" scenarios="1"/>
  <mergeCells count="4">
    <mergeCell ref="B1:I1"/>
    <mergeCell ref="C5:G5"/>
    <mergeCell ref="B2:I2"/>
    <mergeCell ref="B3:H3"/>
  </mergeCells>
  <hyperlinks>
    <hyperlink ref="K1" location="Inhaltsverzeichnis!A1" display="zum Inhaltsverzeichnis" xr:uid="{55DC2BC3-D692-4968-A3EE-20584C8DA871}"/>
  </hyperlinks>
  <pageMargins left="0.7" right="0.7" top="0.78740157499999996" bottom="0.78740157499999996" header="0.3" footer="0.3"/>
  <pageSetup paperSize="9" scale="91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A96F-ECDA-4C67-A876-B070FE6EFBD4}">
  <sheetPr>
    <pageSetUpPr fitToPage="1"/>
  </sheetPr>
  <dimension ref="A1:Q38"/>
  <sheetViews>
    <sheetView showGridLines="0" zoomScaleNormal="100" workbookViewId="0">
      <pane ySplit="6" topLeftCell="A7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29.140625" customWidth="1"/>
    <col min="3" max="3" width="13.42578125" customWidth="1"/>
    <col min="4" max="4" width="17.42578125" customWidth="1"/>
    <col min="5" max="5" width="17.140625" customWidth="1"/>
    <col min="6" max="6" width="12.28515625" customWidth="1"/>
    <col min="7" max="7" width="14.85546875" customWidth="1"/>
    <col min="8" max="8" width="18" customWidth="1"/>
    <col min="9" max="9" width="12.140625" customWidth="1"/>
    <col min="10" max="10" width="15.85546875" customWidth="1"/>
    <col min="11" max="11" width="16.140625" customWidth="1"/>
    <col min="12" max="12" width="16.7109375" style="743" customWidth="1"/>
    <col min="13" max="13" width="18.28515625" style="743" customWidth="1"/>
    <col min="14" max="14" width="16.85546875" style="743" customWidth="1"/>
    <col min="15" max="15" width="16" style="743" customWidth="1"/>
    <col min="16" max="16" width="1.7109375" customWidth="1"/>
    <col min="17" max="17" width="21.42578125" bestFit="1" customWidth="1"/>
    <col min="18" max="16384" width="11.42578125" hidden="1"/>
  </cols>
  <sheetData>
    <row r="1" spans="2:17" ht="35.1" customHeight="1">
      <c r="B1" s="1285" t="s">
        <v>380</v>
      </c>
      <c r="C1" s="1161"/>
      <c r="D1" s="1161"/>
      <c r="E1" s="1161"/>
      <c r="F1" s="1161"/>
      <c r="G1" s="849"/>
      <c r="H1" s="849"/>
      <c r="I1" s="849"/>
      <c r="J1" s="849"/>
      <c r="K1" s="849"/>
      <c r="L1" s="849"/>
      <c r="M1" s="849"/>
      <c r="N1" s="849"/>
      <c r="O1" s="849"/>
      <c r="Q1" s="464" t="s">
        <v>269</v>
      </c>
    </row>
    <row r="2" spans="2:17" s="616" customFormat="1">
      <c r="B2" s="1166" t="s">
        <v>353</v>
      </c>
      <c r="C2" s="1161"/>
      <c r="D2" s="1161"/>
      <c r="E2" s="1161"/>
      <c r="F2" s="1161"/>
      <c r="G2" s="1155" t="s">
        <v>581</v>
      </c>
      <c r="H2" s="1155"/>
      <c r="I2" s="1155"/>
      <c r="J2" s="1155"/>
      <c r="K2" s="1092"/>
      <c r="L2" s="742"/>
      <c r="M2" s="742"/>
      <c r="N2" s="742"/>
      <c r="O2" s="742"/>
      <c r="Q2" s="464"/>
    </row>
    <row r="3" spans="2:17" s="743" customFormat="1" ht="14.1" customHeight="1">
      <c r="B3" s="846" t="s">
        <v>415</v>
      </c>
      <c r="C3" s="846"/>
      <c r="D3" s="846"/>
      <c r="E3" s="846"/>
      <c r="F3" s="846"/>
      <c r="G3" s="846"/>
      <c r="H3" s="846"/>
      <c r="I3" s="846"/>
      <c r="J3" s="846"/>
      <c r="K3" s="846"/>
      <c r="L3" s="742"/>
      <c r="M3" s="742"/>
      <c r="N3" s="742"/>
      <c r="O3" s="742"/>
      <c r="Q3" s="464"/>
    </row>
    <row r="4" spans="2:17" s="214" customFormat="1" ht="15" customHeight="1">
      <c r="B4" s="458"/>
      <c r="L4" s="603"/>
      <c r="M4" s="603"/>
      <c r="N4" s="603"/>
      <c r="P4" s="603" t="s">
        <v>314</v>
      </c>
    </row>
    <row r="5" spans="2:17">
      <c r="B5" s="18" t="s">
        <v>75</v>
      </c>
      <c r="C5" s="1157" t="str">
        <f>Mandantendaten!C3</f>
        <v>Max Mustermann</v>
      </c>
      <c r="D5" s="1339"/>
      <c r="E5" s="1339"/>
      <c r="F5" s="1339"/>
      <c r="G5" s="1339"/>
      <c r="H5" s="1339"/>
      <c r="I5" s="19"/>
      <c r="L5" s="744"/>
      <c r="M5" s="744"/>
      <c r="N5" s="744"/>
      <c r="O5" s="1340">
        <f>Mandantendaten!C5</f>
        <v>44561</v>
      </c>
      <c r="P5" s="1340"/>
    </row>
    <row r="6" spans="2:17">
      <c r="B6" s="59"/>
      <c r="C6" s="60"/>
      <c r="D6" s="61"/>
      <c r="E6" s="62"/>
      <c r="F6" s="62"/>
      <c r="G6" s="62"/>
      <c r="H6" s="62"/>
      <c r="I6" s="62"/>
      <c r="J6" s="63"/>
      <c r="K6" s="63"/>
      <c r="L6" s="63"/>
      <c r="M6" s="63"/>
      <c r="N6" s="63"/>
      <c r="O6" s="63"/>
    </row>
    <row r="7" spans="2:17">
      <c r="B7" s="1138" t="s">
        <v>175</v>
      </c>
      <c r="C7" s="1140" t="s">
        <v>174</v>
      </c>
      <c r="D7" s="1142" t="s">
        <v>85</v>
      </c>
      <c r="E7" s="1146" t="s">
        <v>176</v>
      </c>
      <c r="F7" s="1146" t="s">
        <v>93</v>
      </c>
      <c r="G7" s="1144" t="s">
        <v>177</v>
      </c>
      <c r="H7" s="1144" t="s">
        <v>94</v>
      </c>
      <c r="I7" s="1144" t="s">
        <v>268</v>
      </c>
      <c r="J7" s="1150" t="s">
        <v>352</v>
      </c>
      <c r="K7" s="1152" t="s">
        <v>390</v>
      </c>
      <c r="L7" s="1152"/>
      <c r="M7" s="1156" t="s">
        <v>391</v>
      </c>
      <c r="N7" s="1152"/>
      <c r="O7" s="1136" t="s">
        <v>395</v>
      </c>
    </row>
    <row r="8" spans="2:17" ht="45">
      <c r="B8" s="1139"/>
      <c r="C8" s="1141"/>
      <c r="D8" s="1143"/>
      <c r="E8" s="1147"/>
      <c r="F8" s="1147"/>
      <c r="G8" s="1145"/>
      <c r="H8" s="1145"/>
      <c r="I8" s="1145"/>
      <c r="J8" s="1151"/>
      <c r="K8" s="852" t="s">
        <v>512</v>
      </c>
      <c r="L8" s="852" t="s">
        <v>540</v>
      </c>
      <c r="M8" s="853" t="s">
        <v>512</v>
      </c>
      <c r="N8" s="852" t="s">
        <v>540</v>
      </c>
      <c r="O8" s="1137"/>
    </row>
    <row r="9" spans="2:17">
      <c r="B9" s="479" t="s">
        <v>350</v>
      </c>
      <c r="C9" s="788">
        <v>10400</v>
      </c>
      <c r="D9" s="689"/>
      <c r="E9" s="690">
        <v>20000</v>
      </c>
      <c r="F9" s="691"/>
      <c r="G9" s="692">
        <v>1.05</v>
      </c>
      <c r="H9" s="693">
        <v>1</v>
      </c>
      <c r="I9" s="694">
        <v>1.03</v>
      </c>
      <c r="J9" s="564">
        <f>E9*G9</f>
        <v>21000</v>
      </c>
      <c r="K9" s="564">
        <f>H9*E9</f>
        <v>20000</v>
      </c>
      <c r="L9" s="564">
        <f>K9-J9</f>
        <v>-1000</v>
      </c>
      <c r="M9" s="564">
        <f>IF(AND(H9&lt;G9,I9&lt;G9,[1]Mandantendaten!$C$13="Ja"),E9*H9,J9)</f>
        <v>20000</v>
      </c>
      <c r="N9" s="564">
        <f>M9-J9</f>
        <v>-1000</v>
      </c>
      <c r="O9" s="789">
        <f>M9-K9</f>
        <v>0</v>
      </c>
    </row>
    <row r="10" spans="2:17">
      <c r="B10" s="565" t="s">
        <v>350</v>
      </c>
      <c r="C10" s="790">
        <v>10400</v>
      </c>
      <c r="D10" s="621"/>
      <c r="E10" s="667">
        <v>15000</v>
      </c>
      <c r="F10" s="625"/>
      <c r="G10" s="623">
        <v>1.5</v>
      </c>
      <c r="H10" s="623">
        <v>1.2</v>
      </c>
      <c r="I10" s="627">
        <v>1.5</v>
      </c>
      <c r="J10" s="564">
        <f t="shared" ref="J10:J34" si="0">E10*G10</f>
        <v>22500</v>
      </c>
      <c r="K10" s="564">
        <f t="shared" ref="K10:K34" si="1">H10*E10</f>
        <v>18000</v>
      </c>
      <c r="L10" s="564">
        <f t="shared" ref="L10:L34" si="2">K10-J10</f>
        <v>-4500</v>
      </c>
      <c r="M10" s="564">
        <f>IF(AND(H10&lt;G10,I10&lt;G10,[1]Mandantendaten!$C$13="Ja"),E10*H10,J10)</f>
        <v>22500</v>
      </c>
      <c r="N10" s="564">
        <f t="shared" ref="N10:N34" si="3">M10-J10</f>
        <v>0</v>
      </c>
      <c r="O10" s="789">
        <f t="shared" ref="O10:O34" si="4">M10-K10</f>
        <v>4500</v>
      </c>
    </row>
    <row r="11" spans="2:17">
      <c r="B11" s="565"/>
      <c r="C11" s="790"/>
      <c r="D11" s="621"/>
      <c r="E11" s="667"/>
      <c r="F11" s="625"/>
      <c r="G11" s="623"/>
      <c r="H11" s="623"/>
      <c r="I11" s="627"/>
      <c r="J11" s="564">
        <f t="shared" si="0"/>
        <v>0</v>
      </c>
      <c r="K11" s="564">
        <f t="shared" si="1"/>
        <v>0</v>
      </c>
      <c r="L11" s="564">
        <f t="shared" si="2"/>
        <v>0</v>
      </c>
      <c r="M11" s="564">
        <f>IF(AND(H11&lt;G11,I11&lt;G11,[1]Mandantendaten!$C$13="Ja"),E11*H11,J11)</f>
        <v>0</v>
      </c>
      <c r="N11" s="564">
        <f t="shared" si="3"/>
        <v>0</v>
      </c>
      <c r="O11" s="789">
        <f t="shared" si="4"/>
        <v>0</v>
      </c>
    </row>
    <row r="12" spans="2:17">
      <c r="B12" s="565"/>
      <c r="C12" s="790"/>
      <c r="D12" s="621"/>
      <c r="E12" s="667"/>
      <c r="F12" s="625"/>
      <c r="G12" s="623"/>
      <c r="H12" s="623"/>
      <c r="I12" s="627"/>
      <c r="J12" s="564">
        <f t="shared" si="0"/>
        <v>0</v>
      </c>
      <c r="K12" s="564">
        <f t="shared" si="1"/>
        <v>0</v>
      </c>
      <c r="L12" s="564">
        <f t="shared" si="2"/>
        <v>0</v>
      </c>
      <c r="M12" s="564">
        <f>IF(AND(H12&lt;G12,I12&lt;G12,[1]Mandantendaten!$C$13="Ja"),E12*H12,J12)</f>
        <v>0</v>
      </c>
      <c r="N12" s="564">
        <f t="shared" si="3"/>
        <v>0</v>
      </c>
      <c r="O12" s="789">
        <f t="shared" si="4"/>
        <v>0</v>
      </c>
    </row>
    <row r="13" spans="2:17">
      <c r="B13" s="565"/>
      <c r="C13" s="790"/>
      <c r="D13" s="621"/>
      <c r="E13" s="667"/>
      <c r="F13" s="625"/>
      <c r="G13" s="623"/>
      <c r="H13" s="623"/>
      <c r="I13" s="627"/>
      <c r="J13" s="564">
        <f t="shared" si="0"/>
        <v>0</v>
      </c>
      <c r="K13" s="564">
        <f t="shared" si="1"/>
        <v>0</v>
      </c>
      <c r="L13" s="564">
        <f t="shared" si="2"/>
        <v>0</v>
      </c>
      <c r="M13" s="564">
        <f>IF(AND(H13&lt;G13,I13&lt;G13,[1]Mandantendaten!$C$13="Ja"),E13*H13,J13)</f>
        <v>0</v>
      </c>
      <c r="N13" s="564">
        <f t="shared" si="3"/>
        <v>0</v>
      </c>
      <c r="O13" s="789">
        <f t="shared" si="4"/>
        <v>0</v>
      </c>
    </row>
    <row r="14" spans="2:17">
      <c r="B14" s="565"/>
      <c r="C14" s="790"/>
      <c r="D14" s="621"/>
      <c r="E14" s="667"/>
      <c r="F14" s="625"/>
      <c r="G14" s="623"/>
      <c r="H14" s="623"/>
      <c r="I14" s="627"/>
      <c r="J14" s="564">
        <f t="shared" si="0"/>
        <v>0</v>
      </c>
      <c r="K14" s="564">
        <f t="shared" si="1"/>
        <v>0</v>
      </c>
      <c r="L14" s="564">
        <f t="shared" si="2"/>
        <v>0</v>
      </c>
      <c r="M14" s="564">
        <f>IF(AND(H14&lt;G14,I14&lt;G14,[1]Mandantendaten!$C$13="Ja"),E14*H14,J14)</f>
        <v>0</v>
      </c>
      <c r="N14" s="564">
        <f t="shared" si="3"/>
        <v>0</v>
      </c>
      <c r="O14" s="789">
        <f t="shared" si="4"/>
        <v>0</v>
      </c>
    </row>
    <row r="15" spans="2:17">
      <c r="B15" s="565"/>
      <c r="C15" s="790"/>
      <c r="D15" s="621"/>
      <c r="E15" s="667"/>
      <c r="F15" s="625"/>
      <c r="G15" s="623"/>
      <c r="H15" s="623"/>
      <c r="I15" s="627"/>
      <c r="J15" s="564">
        <f t="shared" si="0"/>
        <v>0</v>
      </c>
      <c r="K15" s="564">
        <f t="shared" si="1"/>
        <v>0</v>
      </c>
      <c r="L15" s="564">
        <f t="shared" si="2"/>
        <v>0</v>
      </c>
      <c r="M15" s="564">
        <f>IF(AND(H15&lt;G15,I15&lt;G15,[1]Mandantendaten!$C$13="Ja"),E15*H15,J15)</f>
        <v>0</v>
      </c>
      <c r="N15" s="564">
        <f t="shared" si="3"/>
        <v>0</v>
      </c>
      <c r="O15" s="789">
        <f t="shared" si="4"/>
        <v>0</v>
      </c>
    </row>
    <row r="16" spans="2:17">
      <c r="B16" s="565"/>
      <c r="C16" s="790"/>
      <c r="D16" s="621"/>
      <c r="E16" s="667"/>
      <c r="F16" s="625"/>
      <c r="G16" s="623"/>
      <c r="H16" s="623"/>
      <c r="I16" s="627"/>
      <c r="J16" s="564">
        <f t="shared" si="0"/>
        <v>0</v>
      </c>
      <c r="K16" s="564">
        <f t="shared" si="1"/>
        <v>0</v>
      </c>
      <c r="L16" s="564">
        <f t="shared" si="2"/>
        <v>0</v>
      </c>
      <c r="M16" s="564">
        <f>IF(AND(H16&lt;G16,I16&lt;G16,[1]Mandantendaten!$C$13="Ja"),E16*H16,J16)</f>
        <v>0</v>
      </c>
      <c r="N16" s="564">
        <f t="shared" si="3"/>
        <v>0</v>
      </c>
      <c r="O16" s="789">
        <f t="shared" si="4"/>
        <v>0</v>
      </c>
    </row>
    <row r="17" spans="2:15">
      <c r="B17" s="565"/>
      <c r="C17" s="790"/>
      <c r="D17" s="621"/>
      <c r="E17" s="667"/>
      <c r="F17" s="625"/>
      <c r="G17" s="623"/>
      <c r="H17" s="623"/>
      <c r="I17" s="627"/>
      <c r="J17" s="564">
        <f t="shared" si="0"/>
        <v>0</v>
      </c>
      <c r="K17" s="564">
        <f t="shared" si="1"/>
        <v>0</v>
      </c>
      <c r="L17" s="564">
        <f t="shared" si="2"/>
        <v>0</v>
      </c>
      <c r="M17" s="564">
        <f>IF(AND(H17&lt;G17,I17&lt;G17,[1]Mandantendaten!$C$13="Ja"),E17*H17,J17)</f>
        <v>0</v>
      </c>
      <c r="N17" s="564">
        <f t="shared" si="3"/>
        <v>0</v>
      </c>
      <c r="O17" s="789">
        <f t="shared" si="4"/>
        <v>0</v>
      </c>
    </row>
    <row r="18" spans="2:15">
      <c r="B18" s="565"/>
      <c r="C18" s="790"/>
      <c r="D18" s="621"/>
      <c r="E18" s="667"/>
      <c r="F18" s="625"/>
      <c r="G18" s="623"/>
      <c r="H18" s="623"/>
      <c r="I18" s="627"/>
      <c r="J18" s="564">
        <f t="shared" si="0"/>
        <v>0</v>
      </c>
      <c r="K18" s="564">
        <f t="shared" si="1"/>
        <v>0</v>
      </c>
      <c r="L18" s="564">
        <f t="shared" si="2"/>
        <v>0</v>
      </c>
      <c r="M18" s="564">
        <f>IF(AND(H18&lt;G18,I18&lt;G18,[1]Mandantendaten!$C$13="Ja"),E18*H18,J18)</f>
        <v>0</v>
      </c>
      <c r="N18" s="564">
        <f t="shared" si="3"/>
        <v>0</v>
      </c>
      <c r="O18" s="789">
        <f t="shared" si="4"/>
        <v>0</v>
      </c>
    </row>
    <row r="19" spans="2:15">
      <c r="B19" s="565"/>
      <c r="C19" s="790"/>
      <c r="D19" s="621"/>
      <c r="E19" s="667"/>
      <c r="F19" s="625"/>
      <c r="G19" s="623"/>
      <c r="H19" s="623"/>
      <c r="I19" s="627"/>
      <c r="J19" s="564">
        <f t="shared" si="0"/>
        <v>0</v>
      </c>
      <c r="K19" s="564">
        <f t="shared" si="1"/>
        <v>0</v>
      </c>
      <c r="L19" s="564">
        <f t="shared" si="2"/>
        <v>0</v>
      </c>
      <c r="M19" s="564">
        <f>IF(AND(H19&lt;G19,I19&lt;G19,[1]Mandantendaten!$C$13="Ja"),E19*H19,J19)</f>
        <v>0</v>
      </c>
      <c r="N19" s="564">
        <f t="shared" si="3"/>
        <v>0</v>
      </c>
      <c r="O19" s="789">
        <f t="shared" si="4"/>
        <v>0</v>
      </c>
    </row>
    <row r="20" spans="2:15">
      <c r="B20" s="565"/>
      <c r="C20" s="790"/>
      <c r="D20" s="621"/>
      <c r="E20" s="667"/>
      <c r="F20" s="625"/>
      <c r="G20" s="623"/>
      <c r="H20" s="623"/>
      <c r="I20" s="627"/>
      <c r="J20" s="564">
        <f t="shared" si="0"/>
        <v>0</v>
      </c>
      <c r="K20" s="564">
        <f t="shared" si="1"/>
        <v>0</v>
      </c>
      <c r="L20" s="564">
        <f t="shared" si="2"/>
        <v>0</v>
      </c>
      <c r="M20" s="564">
        <f>IF(AND(H20&lt;G20,I20&lt;G20,[1]Mandantendaten!$C$13="Ja"),E20*H20,J20)</f>
        <v>0</v>
      </c>
      <c r="N20" s="564">
        <f t="shared" si="3"/>
        <v>0</v>
      </c>
      <c r="O20" s="789">
        <f t="shared" si="4"/>
        <v>0</v>
      </c>
    </row>
    <row r="21" spans="2:15">
      <c r="B21" s="565"/>
      <c r="C21" s="790"/>
      <c r="D21" s="621"/>
      <c r="E21" s="667"/>
      <c r="F21" s="625"/>
      <c r="G21" s="623"/>
      <c r="H21" s="623"/>
      <c r="I21" s="627"/>
      <c r="J21" s="564">
        <f t="shared" si="0"/>
        <v>0</v>
      </c>
      <c r="K21" s="564">
        <f t="shared" si="1"/>
        <v>0</v>
      </c>
      <c r="L21" s="564">
        <f t="shared" si="2"/>
        <v>0</v>
      </c>
      <c r="M21" s="564">
        <f>IF(AND(H21&lt;G21,I21&lt;G21,[1]Mandantendaten!$C$13="Ja"),E21*H21,J21)</f>
        <v>0</v>
      </c>
      <c r="N21" s="564">
        <f t="shared" si="3"/>
        <v>0</v>
      </c>
      <c r="O21" s="789">
        <f t="shared" si="4"/>
        <v>0</v>
      </c>
    </row>
    <row r="22" spans="2:15">
      <c r="B22" s="565"/>
      <c r="C22" s="790"/>
      <c r="D22" s="621"/>
      <c r="E22" s="667"/>
      <c r="F22" s="625"/>
      <c r="G22" s="623"/>
      <c r="H22" s="623"/>
      <c r="I22" s="627"/>
      <c r="J22" s="564">
        <f t="shared" si="0"/>
        <v>0</v>
      </c>
      <c r="K22" s="564">
        <f t="shared" si="1"/>
        <v>0</v>
      </c>
      <c r="L22" s="564">
        <f t="shared" si="2"/>
        <v>0</v>
      </c>
      <c r="M22" s="564">
        <f>IF(AND(H22&lt;G22,I22&lt;G22,[1]Mandantendaten!$C$13="Ja"),E22*H22,J22)</f>
        <v>0</v>
      </c>
      <c r="N22" s="564">
        <f t="shared" si="3"/>
        <v>0</v>
      </c>
      <c r="O22" s="789">
        <f t="shared" si="4"/>
        <v>0</v>
      </c>
    </row>
    <row r="23" spans="2:15">
      <c r="B23" s="565"/>
      <c r="C23" s="790"/>
      <c r="D23" s="621"/>
      <c r="E23" s="667"/>
      <c r="F23" s="625"/>
      <c r="G23" s="623"/>
      <c r="H23" s="623"/>
      <c r="I23" s="627"/>
      <c r="J23" s="564">
        <f t="shared" si="0"/>
        <v>0</v>
      </c>
      <c r="K23" s="564">
        <f t="shared" si="1"/>
        <v>0</v>
      </c>
      <c r="L23" s="564">
        <f t="shared" si="2"/>
        <v>0</v>
      </c>
      <c r="M23" s="564">
        <f>IF(AND(H23&lt;G23,I23&lt;G23,[1]Mandantendaten!$C$13="Ja"),E23*H23,J23)</f>
        <v>0</v>
      </c>
      <c r="N23" s="564">
        <f t="shared" si="3"/>
        <v>0</v>
      </c>
      <c r="O23" s="789">
        <f t="shared" si="4"/>
        <v>0</v>
      </c>
    </row>
    <row r="24" spans="2:15">
      <c r="B24" s="565"/>
      <c r="C24" s="790"/>
      <c r="D24" s="621"/>
      <c r="E24" s="667"/>
      <c r="F24" s="625"/>
      <c r="G24" s="623"/>
      <c r="H24" s="623"/>
      <c r="I24" s="627"/>
      <c r="J24" s="564">
        <f t="shared" si="0"/>
        <v>0</v>
      </c>
      <c r="K24" s="564">
        <f t="shared" si="1"/>
        <v>0</v>
      </c>
      <c r="L24" s="564">
        <f t="shared" si="2"/>
        <v>0</v>
      </c>
      <c r="M24" s="564">
        <f>IF(AND(H24&lt;G24,I24&lt;G24,[1]Mandantendaten!$C$13="Ja"),E24*H24,J24)</f>
        <v>0</v>
      </c>
      <c r="N24" s="564">
        <f t="shared" si="3"/>
        <v>0</v>
      </c>
      <c r="O24" s="789">
        <f t="shared" si="4"/>
        <v>0</v>
      </c>
    </row>
    <row r="25" spans="2:15">
      <c r="B25" s="565"/>
      <c r="C25" s="790"/>
      <c r="D25" s="621"/>
      <c r="E25" s="667"/>
      <c r="F25" s="625"/>
      <c r="G25" s="623"/>
      <c r="H25" s="623"/>
      <c r="I25" s="627"/>
      <c r="J25" s="564">
        <f t="shared" si="0"/>
        <v>0</v>
      </c>
      <c r="K25" s="564">
        <f t="shared" si="1"/>
        <v>0</v>
      </c>
      <c r="L25" s="564">
        <f t="shared" si="2"/>
        <v>0</v>
      </c>
      <c r="M25" s="564">
        <f>IF(AND(H25&lt;G25,I25&lt;G25,[1]Mandantendaten!$C$13="Ja"),E25*H25,J25)</f>
        <v>0</v>
      </c>
      <c r="N25" s="564">
        <f t="shared" si="3"/>
        <v>0</v>
      </c>
      <c r="O25" s="789">
        <f t="shared" si="4"/>
        <v>0</v>
      </c>
    </row>
    <row r="26" spans="2:15">
      <c r="B26" s="565"/>
      <c r="C26" s="790"/>
      <c r="D26" s="621"/>
      <c r="E26" s="667"/>
      <c r="F26" s="625"/>
      <c r="G26" s="623"/>
      <c r="H26" s="623"/>
      <c r="I26" s="627"/>
      <c r="J26" s="564">
        <f t="shared" si="0"/>
        <v>0</v>
      </c>
      <c r="K26" s="564">
        <f t="shared" si="1"/>
        <v>0</v>
      </c>
      <c r="L26" s="564">
        <f t="shared" si="2"/>
        <v>0</v>
      </c>
      <c r="M26" s="564">
        <f>IF(AND(H26&lt;G26,I26&lt;G26,[1]Mandantendaten!$C$13="Ja"),E26*H26,J26)</f>
        <v>0</v>
      </c>
      <c r="N26" s="564">
        <f t="shared" si="3"/>
        <v>0</v>
      </c>
      <c r="O26" s="789">
        <f t="shared" si="4"/>
        <v>0</v>
      </c>
    </row>
    <row r="27" spans="2:15">
      <c r="B27" s="565"/>
      <c r="C27" s="790"/>
      <c r="D27" s="621"/>
      <c r="E27" s="667"/>
      <c r="F27" s="625"/>
      <c r="G27" s="623"/>
      <c r="H27" s="623"/>
      <c r="I27" s="627"/>
      <c r="J27" s="564">
        <f t="shared" si="0"/>
        <v>0</v>
      </c>
      <c r="K27" s="564">
        <f t="shared" si="1"/>
        <v>0</v>
      </c>
      <c r="L27" s="564">
        <f t="shared" si="2"/>
        <v>0</v>
      </c>
      <c r="M27" s="564">
        <f>IF(AND(H27&lt;G27,I27&lt;G27,[1]Mandantendaten!$C$13="Ja"),E27*H27,J27)</f>
        <v>0</v>
      </c>
      <c r="N27" s="564">
        <f t="shared" si="3"/>
        <v>0</v>
      </c>
      <c r="O27" s="789">
        <f t="shared" si="4"/>
        <v>0</v>
      </c>
    </row>
    <row r="28" spans="2:15">
      <c r="B28" s="565"/>
      <c r="C28" s="790"/>
      <c r="D28" s="621"/>
      <c r="E28" s="667"/>
      <c r="F28" s="625"/>
      <c r="G28" s="623"/>
      <c r="H28" s="623"/>
      <c r="I28" s="627"/>
      <c r="J28" s="564">
        <f t="shared" si="0"/>
        <v>0</v>
      </c>
      <c r="K28" s="564">
        <f t="shared" si="1"/>
        <v>0</v>
      </c>
      <c r="L28" s="564">
        <f t="shared" si="2"/>
        <v>0</v>
      </c>
      <c r="M28" s="564">
        <f>IF(AND(H28&lt;G28,I28&lt;G28,[1]Mandantendaten!$C$13="Ja"),E28*H28,J28)</f>
        <v>0</v>
      </c>
      <c r="N28" s="564">
        <f t="shared" si="3"/>
        <v>0</v>
      </c>
      <c r="O28" s="789">
        <f t="shared" si="4"/>
        <v>0</v>
      </c>
    </row>
    <row r="29" spans="2:15">
      <c r="B29" s="565"/>
      <c r="C29" s="790"/>
      <c r="D29" s="621"/>
      <c r="E29" s="667"/>
      <c r="F29" s="625"/>
      <c r="G29" s="623"/>
      <c r="H29" s="623"/>
      <c r="I29" s="627"/>
      <c r="J29" s="564">
        <f t="shared" si="0"/>
        <v>0</v>
      </c>
      <c r="K29" s="564">
        <f t="shared" si="1"/>
        <v>0</v>
      </c>
      <c r="L29" s="564">
        <f t="shared" si="2"/>
        <v>0</v>
      </c>
      <c r="M29" s="564">
        <f>IF(AND(H29&lt;G29,I29&lt;G29,[1]Mandantendaten!$C$13="Ja"),E29*H29,J29)</f>
        <v>0</v>
      </c>
      <c r="N29" s="564">
        <f t="shared" si="3"/>
        <v>0</v>
      </c>
      <c r="O29" s="789">
        <f t="shared" si="4"/>
        <v>0</v>
      </c>
    </row>
    <row r="30" spans="2:15">
      <c r="B30" s="565"/>
      <c r="C30" s="790"/>
      <c r="D30" s="621"/>
      <c r="E30" s="667"/>
      <c r="F30" s="625"/>
      <c r="G30" s="623"/>
      <c r="H30" s="623"/>
      <c r="I30" s="627"/>
      <c r="J30" s="564">
        <f t="shared" si="0"/>
        <v>0</v>
      </c>
      <c r="K30" s="564">
        <f t="shared" si="1"/>
        <v>0</v>
      </c>
      <c r="L30" s="564">
        <f t="shared" si="2"/>
        <v>0</v>
      </c>
      <c r="M30" s="564">
        <f>IF(AND(H30&lt;G30,I30&lt;G30,[1]Mandantendaten!$C$13="Ja"),E30*H30,J30)</f>
        <v>0</v>
      </c>
      <c r="N30" s="564">
        <f t="shared" si="3"/>
        <v>0</v>
      </c>
      <c r="O30" s="789">
        <f t="shared" si="4"/>
        <v>0</v>
      </c>
    </row>
    <row r="31" spans="2:15">
      <c r="B31" s="565"/>
      <c r="C31" s="790"/>
      <c r="D31" s="621"/>
      <c r="E31" s="667"/>
      <c r="F31" s="625"/>
      <c r="G31" s="623"/>
      <c r="H31" s="623"/>
      <c r="I31" s="627"/>
      <c r="J31" s="564">
        <f t="shared" si="0"/>
        <v>0</v>
      </c>
      <c r="K31" s="564">
        <f t="shared" si="1"/>
        <v>0</v>
      </c>
      <c r="L31" s="564">
        <f t="shared" si="2"/>
        <v>0</v>
      </c>
      <c r="M31" s="564">
        <f>IF(AND(H31&lt;G31,I31&lt;G31,[1]Mandantendaten!$C$13="Ja"),E31*H31,J31)</f>
        <v>0</v>
      </c>
      <c r="N31" s="564">
        <f t="shared" si="3"/>
        <v>0</v>
      </c>
      <c r="O31" s="789">
        <f t="shared" si="4"/>
        <v>0</v>
      </c>
    </row>
    <row r="32" spans="2:15">
      <c r="B32" s="565"/>
      <c r="C32" s="790"/>
      <c r="D32" s="621"/>
      <c r="E32" s="667"/>
      <c r="F32" s="625"/>
      <c r="G32" s="623"/>
      <c r="H32" s="623"/>
      <c r="I32" s="627"/>
      <c r="J32" s="564">
        <f t="shared" si="0"/>
        <v>0</v>
      </c>
      <c r="K32" s="564">
        <f t="shared" si="1"/>
        <v>0</v>
      </c>
      <c r="L32" s="564">
        <f t="shared" si="2"/>
        <v>0</v>
      </c>
      <c r="M32" s="564">
        <f>IF(AND(H32&lt;G32,I32&lt;G32,[1]Mandantendaten!$C$13="Ja"),E32*H32,J32)</f>
        <v>0</v>
      </c>
      <c r="N32" s="564">
        <f t="shared" si="3"/>
        <v>0</v>
      </c>
      <c r="O32" s="789">
        <f t="shared" si="4"/>
        <v>0</v>
      </c>
    </row>
    <row r="33" spans="2:15">
      <c r="B33" s="565"/>
      <c r="C33" s="790"/>
      <c r="D33" s="621"/>
      <c r="E33" s="667"/>
      <c r="F33" s="625"/>
      <c r="G33" s="623"/>
      <c r="H33" s="623"/>
      <c r="I33" s="627"/>
      <c r="J33" s="564">
        <f t="shared" si="0"/>
        <v>0</v>
      </c>
      <c r="K33" s="564">
        <f t="shared" si="1"/>
        <v>0</v>
      </c>
      <c r="L33" s="564">
        <f t="shared" si="2"/>
        <v>0</v>
      </c>
      <c r="M33" s="564">
        <f>IF(AND(H33&lt;G33,I33&lt;G33,[1]Mandantendaten!$C$13="Ja"),E33*H33,J33)</f>
        <v>0</v>
      </c>
      <c r="N33" s="564">
        <f t="shared" si="3"/>
        <v>0</v>
      </c>
      <c r="O33" s="789">
        <f t="shared" si="4"/>
        <v>0</v>
      </c>
    </row>
    <row r="34" spans="2:15">
      <c r="B34" s="566"/>
      <c r="C34" s="791"/>
      <c r="D34" s="622"/>
      <c r="E34" s="668"/>
      <c r="F34" s="626"/>
      <c r="G34" s="624"/>
      <c r="H34" s="624"/>
      <c r="I34" s="628"/>
      <c r="J34" s="564">
        <f t="shared" si="0"/>
        <v>0</v>
      </c>
      <c r="K34" s="564">
        <f t="shared" si="1"/>
        <v>0</v>
      </c>
      <c r="L34" s="564">
        <f t="shared" si="2"/>
        <v>0</v>
      </c>
      <c r="M34" s="564">
        <f>IF(AND(H34&lt;G34,I34&lt;G34,[1]Mandantendaten!$C$13="Ja"),E34*H34,J34)</f>
        <v>0</v>
      </c>
      <c r="N34" s="564">
        <f t="shared" si="3"/>
        <v>0</v>
      </c>
      <c r="O34" s="789">
        <f t="shared" si="4"/>
        <v>0</v>
      </c>
    </row>
    <row r="35" spans="2:15">
      <c r="B35" s="567"/>
      <c r="C35" s="568"/>
      <c r="D35" s="568"/>
      <c r="E35" s="568"/>
      <c r="F35" s="568"/>
      <c r="G35" s="569"/>
      <c r="H35" s="569"/>
      <c r="I35" s="569"/>
      <c r="J35" s="570"/>
      <c r="K35" s="570"/>
      <c r="L35" s="570"/>
      <c r="M35" s="564"/>
      <c r="N35" s="564"/>
      <c r="O35" s="564"/>
    </row>
    <row r="36" spans="2:15">
      <c r="B36" s="571" t="s">
        <v>91</v>
      </c>
      <c r="C36" s="572"/>
      <c r="D36" s="572"/>
      <c r="E36" s="573"/>
      <c r="F36" s="573"/>
      <c r="G36" s="574"/>
      <c r="H36" s="574"/>
      <c r="I36" s="574"/>
      <c r="J36" s="575">
        <f t="shared" ref="J36:O36" si="5">SUM(J9:J34)</f>
        <v>43500</v>
      </c>
      <c r="K36" s="575">
        <f t="shared" si="5"/>
        <v>38000</v>
      </c>
      <c r="L36" s="575">
        <f t="shared" si="5"/>
        <v>-5500</v>
      </c>
      <c r="M36" s="575">
        <f t="shared" si="5"/>
        <v>42500</v>
      </c>
      <c r="N36" s="575">
        <f t="shared" si="5"/>
        <v>-1000</v>
      </c>
      <c r="O36" s="575">
        <f t="shared" si="5"/>
        <v>4500</v>
      </c>
    </row>
    <row r="37" spans="2:15"/>
    <row r="38" spans="2:15"/>
  </sheetData>
  <mergeCells count="17">
    <mergeCell ref="M7:N7"/>
    <mergeCell ref="O7:O8"/>
    <mergeCell ref="C5:H5"/>
    <mergeCell ref="O5:P5"/>
    <mergeCell ref="G7:G8"/>
    <mergeCell ref="H7:H8"/>
    <mergeCell ref="I7:I8"/>
    <mergeCell ref="J7:J8"/>
    <mergeCell ref="K7:L7"/>
    <mergeCell ref="G2:K2"/>
    <mergeCell ref="B7:B8"/>
    <mergeCell ref="B1:F1"/>
    <mergeCell ref="B2:F2"/>
    <mergeCell ref="C7:C8"/>
    <mergeCell ref="D7:D8"/>
    <mergeCell ref="E7:E8"/>
    <mergeCell ref="F7:F8"/>
  </mergeCells>
  <hyperlinks>
    <hyperlink ref="Q1" location="Inhaltsverzeichnis!A1" display="zum Inhaltsverzeichnis" xr:uid="{003A8A3D-46E9-465C-9C31-C0D4D56FA7BF}"/>
  </hyperlinks>
  <pageMargins left="0.7" right="0.7" top="0.78740157499999996" bottom="0.78740157499999996" header="0.3" footer="0.3"/>
  <pageSetup paperSize="9" scale="73" orientation="landscape" r:id="rId1"/>
  <colBreaks count="1" manualBreakCount="1">
    <brk id="1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0C11-A930-4C86-97E2-F92AE79E76D7}">
  <sheetPr>
    <pageSetUpPr fitToPage="1"/>
  </sheetPr>
  <dimension ref="A1:K37"/>
  <sheetViews>
    <sheetView showGridLines="0" zoomScaleNormal="100" workbookViewId="0">
      <pane ySplit="6" topLeftCell="A7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30" customWidth="1"/>
    <col min="3" max="3" width="18" customWidth="1"/>
    <col min="4" max="4" width="16.28515625" customWidth="1"/>
    <col min="5" max="5" width="23.85546875" customWidth="1"/>
    <col min="6" max="6" width="16" customWidth="1"/>
    <col min="7" max="7" width="0" hidden="1" customWidth="1"/>
    <col min="8" max="8" width="19.140625" customWidth="1"/>
    <col min="9" max="9" width="15.28515625" bestFit="1" customWidth="1"/>
    <col min="10" max="10" width="1.7109375" customWidth="1"/>
    <col min="11" max="11" width="21.42578125" bestFit="1" customWidth="1"/>
    <col min="12" max="16384" width="11.42578125" hidden="1"/>
  </cols>
  <sheetData>
    <row r="1" spans="2:11" ht="35.1" customHeight="1">
      <c r="B1" s="1079" t="s">
        <v>417</v>
      </c>
      <c r="C1" s="1092"/>
      <c r="D1" s="1092"/>
      <c r="E1" s="1092"/>
      <c r="F1" s="1092"/>
      <c r="G1" s="1092"/>
      <c r="H1" s="1092"/>
      <c r="I1" s="1092"/>
      <c r="J1" s="290"/>
      <c r="K1" s="480" t="s">
        <v>269</v>
      </c>
    </row>
    <row r="2" spans="2:11" s="616" customFormat="1">
      <c r="B2" s="1166" t="s">
        <v>354</v>
      </c>
      <c r="C2" s="1166"/>
      <c r="D2" s="1166"/>
      <c r="E2" s="1166"/>
      <c r="F2" s="1166"/>
      <c r="G2" s="1166"/>
      <c r="H2" s="1166"/>
      <c r="I2" s="1166"/>
      <c r="J2" s="614"/>
      <c r="K2" s="615"/>
    </row>
    <row r="3" spans="2:11" s="743" customFormat="1">
      <c r="B3" s="1166" t="s">
        <v>415</v>
      </c>
      <c r="C3" s="1166"/>
      <c r="D3" s="1166"/>
      <c r="E3" s="1166"/>
      <c r="F3" s="1166"/>
      <c r="G3" s="1166"/>
      <c r="H3" s="1166"/>
      <c r="I3" s="742"/>
      <c r="J3" s="740"/>
      <c r="K3" s="741"/>
    </row>
    <row r="4" spans="2:11">
      <c r="I4" s="603" t="s">
        <v>314</v>
      </c>
    </row>
    <row r="5" spans="2:11">
      <c r="B5" s="237" t="s">
        <v>75</v>
      </c>
      <c r="C5" s="1342" t="str">
        <f>Mandantendaten!C3</f>
        <v>Max Mustermann</v>
      </c>
      <c r="D5" s="1343"/>
      <c r="E5" s="1343"/>
      <c r="F5" s="1343"/>
      <c r="G5" s="1343"/>
      <c r="H5" s="1343"/>
      <c r="I5" s="262">
        <f>Mandantendaten!C5</f>
        <v>44561</v>
      </c>
    </row>
    <row r="6" spans="2:11">
      <c r="B6" s="238"/>
      <c r="C6" s="239"/>
      <c r="D6" s="239"/>
      <c r="E6" s="239"/>
      <c r="F6" s="239"/>
      <c r="G6" s="239"/>
      <c r="H6" s="239"/>
      <c r="I6" s="238"/>
    </row>
    <row r="7" spans="2:11">
      <c r="B7" s="263" t="s">
        <v>111</v>
      </c>
      <c r="C7" s="264"/>
      <c r="D7" s="265"/>
      <c r="E7" s="266"/>
      <c r="F7" s="1341" t="s">
        <v>178</v>
      </c>
      <c r="G7" s="1341"/>
      <c r="H7" s="1341"/>
      <c r="I7" s="264" t="s">
        <v>89</v>
      </c>
    </row>
    <row r="8" spans="2:11">
      <c r="B8" s="283" t="s">
        <v>113</v>
      </c>
      <c r="C8" s="279" t="s">
        <v>77</v>
      </c>
      <c r="D8" s="279" t="s">
        <v>114</v>
      </c>
      <c r="E8" s="280" t="s">
        <v>86</v>
      </c>
      <c r="F8" s="281" t="s">
        <v>77</v>
      </c>
      <c r="G8" s="281"/>
      <c r="H8" s="282" t="s">
        <v>86</v>
      </c>
      <c r="I8" s="241"/>
    </row>
    <row r="9" spans="2:11">
      <c r="B9" s="267" t="s">
        <v>319</v>
      </c>
      <c r="C9" s="268"/>
      <c r="D9" s="269"/>
      <c r="E9" s="270">
        <v>500</v>
      </c>
      <c r="F9" s="268"/>
      <c r="G9" s="286">
        <f t="shared" ref="G9:G15" si="0">IF(F9&lt;=$H$4,1,"")</f>
        <v>1</v>
      </c>
      <c r="H9" s="287">
        <v>400</v>
      </c>
      <c r="I9" s="243">
        <f t="shared" ref="I9:I15" si="1">E9-H9</f>
        <v>100</v>
      </c>
    </row>
    <row r="10" spans="2:11">
      <c r="B10" s="271"/>
      <c r="C10" s="272"/>
      <c r="D10" s="273"/>
      <c r="E10" s="274"/>
      <c r="F10" s="272"/>
      <c r="G10" s="286">
        <f t="shared" si="0"/>
        <v>1</v>
      </c>
      <c r="H10" s="288"/>
      <c r="I10" s="243">
        <f t="shared" si="1"/>
        <v>0</v>
      </c>
    </row>
    <row r="11" spans="2:11">
      <c r="B11" s="271"/>
      <c r="C11" s="272"/>
      <c r="D11" s="273"/>
      <c r="E11" s="274"/>
      <c r="F11" s="272"/>
      <c r="G11" s="286">
        <f t="shared" si="0"/>
        <v>1</v>
      </c>
      <c r="H11" s="288"/>
      <c r="I11" s="243">
        <f t="shared" si="1"/>
        <v>0</v>
      </c>
    </row>
    <row r="12" spans="2:11">
      <c r="B12" s="271"/>
      <c r="C12" s="272"/>
      <c r="D12" s="273"/>
      <c r="E12" s="274"/>
      <c r="F12" s="272"/>
      <c r="G12" s="286">
        <f t="shared" si="0"/>
        <v>1</v>
      </c>
      <c r="H12" s="288"/>
      <c r="I12" s="243">
        <f t="shared" si="1"/>
        <v>0</v>
      </c>
    </row>
    <row r="13" spans="2:11">
      <c r="B13" s="271"/>
      <c r="C13" s="272"/>
      <c r="D13" s="273"/>
      <c r="E13" s="274"/>
      <c r="F13" s="272"/>
      <c r="G13" s="286">
        <f t="shared" si="0"/>
        <v>1</v>
      </c>
      <c r="H13" s="288"/>
      <c r="I13" s="243">
        <f t="shared" si="1"/>
        <v>0</v>
      </c>
    </row>
    <row r="14" spans="2:11">
      <c r="B14" s="271"/>
      <c r="C14" s="272"/>
      <c r="D14" s="273"/>
      <c r="E14" s="274"/>
      <c r="F14" s="272"/>
      <c r="G14" s="286">
        <f t="shared" si="0"/>
        <v>1</v>
      </c>
      <c r="H14" s="288"/>
      <c r="I14" s="243">
        <f t="shared" si="1"/>
        <v>0</v>
      </c>
    </row>
    <row r="15" spans="2:11">
      <c r="B15" s="275"/>
      <c r="C15" s="276"/>
      <c r="D15" s="277"/>
      <c r="E15" s="278"/>
      <c r="F15" s="276"/>
      <c r="G15" s="286">
        <f t="shared" si="0"/>
        <v>1</v>
      </c>
      <c r="H15" s="289"/>
      <c r="I15" s="243">
        <f t="shared" si="1"/>
        <v>0</v>
      </c>
    </row>
    <row r="16" spans="2:11">
      <c r="B16" s="244"/>
      <c r="C16" s="245"/>
      <c r="D16" s="246"/>
      <c r="E16" s="247"/>
      <c r="F16" s="248"/>
      <c r="G16" s="248"/>
      <c r="H16" s="248"/>
      <c r="I16" s="243"/>
    </row>
    <row r="17" spans="2:9">
      <c r="B17" s="249" t="s">
        <v>115</v>
      </c>
      <c r="C17" s="250"/>
      <c r="D17" s="251"/>
      <c r="E17" s="251">
        <f>SUM(E9:E15)</f>
        <v>500</v>
      </c>
      <c r="F17" s="251"/>
      <c r="G17" s="251"/>
      <c r="H17" s="251">
        <f>SUM(H9:H15)</f>
        <v>400</v>
      </c>
      <c r="I17" s="251">
        <f>SUM(I9:I15)</f>
        <v>100</v>
      </c>
    </row>
    <row r="18" spans="2:9">
      <c r="B18" s="238"/>
      <c r="C18" s="239"/>
      <c r="D18" s="242"/>
      <c r="E18" s="242"/>
      <c r="F18" s="242"/>
      <c r="G18" s="242"/>
      <c r="H18" s="252"/>
      <c r="I18" s="238"/>
    </row>
    <row r="19" spans="2:9">
      <c r="B19" s="263" t="s">
        <v>116</v>
      </c>
      <c r="C19" s="264"/>
      <c r="D19" s="265"/>
      <c r="E19" s="266"/>
      <c r="F19" s="1341" t="s">
        <v>178</v>
      </c>
      <c r="G19" s="1341"/>
      <c r="H19" s="1341"/>
      <c r="I19" s="266" t="str">
        <f>I7</f>
        <v>Restbetrag</v>
      </c>
    </row>
    <row r="20" spans="2:9">
      <c r="B20" s="283" t="s">
        <v>113</v>
      </c>
      <c r="C20" s="283" t="s">
        <v>77</v>
      </c>
      <c r="D20" s="283" t="s">
        <v>114</v>
      </c>
      <c r="E20" s="284" t="s">
        <v>86</v>
      </c>
      <c r="F20" s="285" t="s">
        <v>77</v>
      </c>
      <c r="G20" s="285"/>
      <c r="H20" s="284" t="s">
        <v>86</v>
      </c>
      <c r="I20" s="241"/>
    </row>
    <row r="21" spans="2:9">
      <c r="B21" s="267"/>
      <c r="C21" s="268"/>
      <c r="D21" s="269"/>
      <c r="E21" s="491"/>
      <c r="F21" s="485"/>
      <c r="G21" s="286" t="str">
        <f>IF(F21&lt;$H$4,1,"")</f>
        <v/>
      </c>
      <c r="H21" s="494"/>
      <c r="I21" s="243">
        <f t="shared" ref="I21:I30" si="2">E21-H21</f>
        <v>0</v>
      </c>
    </row>
    <row r="22" spans="2:9">
      <c r="B22" s="271"/>
      <c r="C22" s="272"/>
      <c r="D22" s="273"/>
      <c r="E22" s="492"/>
      <c r="F22" s="487"/>
      <c r="G22" s="286" t="str">
        <f>IF(F22&lt;$H$4,1,"")</f>
        <v/>
      </c>
      <c r="H22" s="495"/>
      <c r="I22" s="243">
        <f t="shared" si="2"/>
        <v>0</v>
      </c>
    </row>
    <row r="23" spans="2:9">
      <c r="B23" s="271"/>
      <c r="C23" s="272"/>
      <c r="D23" s="273"/>
      <c r="E23" s="492"/>
      <c r="F23" s="487"/>
      <c r="G23" s="286" t="str">
        <f t="shared" ref="G23:G30" si="3">IF(F23&lt;$H$4,1,"")</f>
        <v/>
      </c>
      <c r="H23" s="495"/>
      <c r="I23" s="243">
        <f t="shared" si="2"/>
        <v>0</v>
      </c>
    </row>
    <row r="24" spans="2:9">
      <c r="B24" s="271"/>
      <c r="C24" s="272"/>
      <c r="D24" s="273"/>
      <c r="E24" s="492"/>
      <c r="F24" s="487"/>
      <c r="G24" s="286" t="str">
        <f t="shared" si="3"/>
        <v/>
      </c>
      <c r="H24" s="495"/>
      <c r="I24" s="243">
        <f t="shared" si="2"/>
        <v>0</v>
      </c>
    </row>
    <row r="25" spans="2:9">
      <c r="B25" s="271"/>
      <c r="C25" s="272"/>
      <c r="D25" s="273"/>
      <c r="E25" s="492"/>
      <c r="F25" s="487"/>
      <c r="G25" s="286" t="str">
        <f t="shared" si="3"/>
        <v/>
      </c>
      <c r="H25" s="495"/>
      <c r="I25" s="243">
        <f t="shared" si="2"/>
        <v>0</v>
      </c>
    </row>
    <row r="26" spans="2:9">
      <c r="B26" s="271"/>
      <c r="C26" s="272"/>
      <c r="D26" s="273"/>
      <c r="E26" s="492"/>
      <c r="F26" s="487"/>
      <c r="G26" s="286" t="str">
        <f t="shared" si="3"/>
        <v/>
      </c>
      <c r="H26" s="495"/>
      <c r="I26" s="243">
        <f t="shared" si="2"/>
        <v>0</v>
      </c>
    </row>
    <row r="27" spans="2:9">
      <c r="B27" s="271"/>
      <c r="C27" s="272"/>
      <c r="D27" s="273"/>
      <c r="E27" s="492"/>
      <c r="F27" s="487"/>
      <c r="G27" s="286" t="str">
        <f t="shared" si="3"/>
        <v/>
      </c>
      <c r="H27" s="495"/>
      <c r="I27" s="243">
        <f t="shared" si="2"/>
        <v>0</v>
      </c>
    </row>
    <row r="28" spans="2:9">
      <c r="B28" s="271"/>
      <c r="C28" s="272"/>
      <c r="D28" s="273"/>
      <c r="E28" s="492"/>
      <c r="F28" s="487"/>
      <c r="G28" s="286" t="str">
        <f t="shared" si="3"/>
        <v/>
      </c>
      <c r="H28" s="495"/>
      <c r="I28" s="243">
        <f t="shared" si="2"/>
        <v>0</v>
      </c>
    </row>
    <row r="29" spans="2:9">
      <c r="B29" s="271"/>
      <c r="C29" s="272"/>
      <c r="D29" s="273"/>
      <c r="E29" s="492"/>
      <c r="F29" s="487"/>
      <c r="G29" s="286" t="str">
        <f t="shared" si="3"/>
        <v/>
      </c>
      <c r="H29" s="495"/>
      <c r="I29" s="243">
        <f t="shared" si="2"/>
        <v>0</v>
      </c>
    </row>
    <row r="30" spans="2:9">
      <c r="B30" s="275"/>
      <c r="C30" s="276"/>
      <c r="D30" s="277"/>
      <c r="E30" s="493"/>
      <c r="F30" s="489"/>
      <c r="G30" s="286" t="str">
        <f t="shared" si="3"/>
        <v/>
      </c>
      <c r="H30" s="496"/>
      <c r="I30" s="243">
        <f t="shared" si="2"/>
        <v>0</v>
      </c>
    </row>
    <row r="31" spans="2:9">
      <c r="B31" s="244"/>
      <c r="C31" s="245"/>
      <c r="D31" s="246"/>
      <c r="E31" s="247"/>
      <c r="F31" s="248"/>
      <c r="G31" s="248"/>
      <c r="H31" s="248"/>
      <c r="I31" s="243"/>
    </row>
    <row r="32" spans="2:9">
      <c r="B32" s="253" t="s">
        <v>117</v>
      </c>
      <c r="C32" s="254"/>
      <c r="D32" s="255"/>
      <c r="E32" s="251">
        <f>SUM(E21:E30)</f>
        <v>0</v>
      </c>
      <c r="F32" s="255"/>
      <c r="G32" s="255"/>
      <c r="H32" s="251">
        <f>SUM(H21:H30)</f>
        <v>0</v>
      </c>
      <c r="I32" s="251">
        <f>SUM(I21:I30)</f>
        <v>0</v>
      </c>
    </row>
    <row r="33" spans="2:9">
      <c r="B33" s="246"/>
      <c r="C33" s="256"/>
      <c r="D33" s="257"/>
      <c r="E33" s="257"/>
      <c r="F33" s="257"/>
      <c r="G33" s="257"/>
      <c r="H33" s="258"/>
      <c r="I33" s="238"/>
    </row>
    <row r="34" spans="2:9" ht="30">
      <c r="B34" s="483" t="s">
        <v>279</v>
      </c>
      <c r="C34" s="498">
        <f>I5</f>
        <v>44561</v>
      </c>
      <c r="D34" s="255"/>
      <c r="E34" s="255"/>
      <c r="F34" s="255"/>
      <c r="G34" s="255">
        <f>SUMIF(G21:G30,1,H21:H30)+SUMIF(G9:G15,1,H9:H15)</f>
        <v>400</v>
      </c>
      <c r="H34" s="255"/>
      <c r="I34" s="386">
        <f>E17+E32-G34</f>
        <v>100</v>
      </c>
    </row>
    <row r="35" spans="2:9">
      <c r="B35" s="260" t="s">
        <v>119</v>
      </c>
      <c r="C35" s="256"/>
      <c r="D35" s="257"/>
      <c r="E35" s="257"/>
      <c r="F35" s="257"/>
      <c r="G35" s="257"/>
      <c r="H35" s="258"/>
      <c r="I35" s="482"/>
    </row>
    <row r="36" spans="2:9">
      <c r="B36" s="253" t="s">
        <v>120</v>
      </c>
      <c r="C36" s="261"/>
      <c r="D36" s="255"/>
      <c r="E36" s="255"/>
      <c r="F36" s="255"/>
      <c r="G36" s="255"/>
      <c r="H36" s="255"/>
      <c r="I36" s="255">
        <f>I34-I35</f>
        <v>100</v>
      </c>
    </row>
    <row r="37" spans="2:9"/>
  </sheetData>
  <sheetProtection algorithmName="SHA-512" hashValue="gCfbuK4iYTTnq5q9ltfgRYLxYduB8T0H9ObgLQys71qjJb2fv6jcwyHV1BX0sjVyDUq/uLt8oxYtLv8+HncQSA==" saltValue="oC5Wtc+UvAlQZWF+7PAZkQ==" spinCount="100000" sheet="1" objects="1" scenarios="1"/>
  <mergeCells count="6">
    <mergeCell ref="F7:H7"/>
    <mergeCell ref="F19:H19"/>
    <mergeCell ref="C5:H5"/>
    <mergeCell ref="B1:I1"/>
    <mergeCell ref="B2:I2"/>
    <mergeCell ref="B3:H3"/>
  </mergeCells>
  <hyperlinks>
    <hyperlink ref="K1" location="Inhaltsverzeichnis!A1" display="zum Inhaltsverzeichnis" xr:uid="{6EB07D15-8011-4459-9030-3A941B394C3C}"/>
  </hyperlinks>
  <pageMargins left="0.7" right="0.7" top="0.78740157499999996" bottom="0.78740157499999996" header="0.3" footer="0.3"/>
  <pageSetup paperSize="9" scale="91" orientation="landscape" r:id="rId1"/>
  <colBreaks count="1" manualBreakCount="1">
    <brk id="10" max="33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4EF7-8AAC-4CB3-96D3-0553062F34D2}">
  <sheetPr>
    <pageSetUpPr fitToPage="1"/>
  </sheetPr>
  <dimension ref="A1:J37"/>
  <sheetViews>
    <sheetView showGridLines="0" zoomScaleNormal="100" workbookViewId="0">
      <pane ySplit="6" topLeftCell="A7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style="93" customWidth="1"/>
    <col min="2" max="2" width="36.28515625" style="93" customWidth="1"/>
    <col min="3" max="3" width="16.5703125" style="93" customWidth="1"/>
    <col min="4" max="4" width="18.140625" style="93" customWidth="1"/>
    <col min="5" max="5" width="18.5703125" style="93" customWidth="1"/>
    <col min="6" max="6" width="11.42578125" style="93" hidden="1" customWidth="1"/>
    <col min="7" max="7" width="21.85546875" style="93" customWidth="1"/>
    <col min="8" max="8" width="15.28515625" style="93" bestFit="1" customWidth="1"/>
    <col min="9" max="9" width="1.7109375" style="93" customWidth="1"/>
    <col min="10" max="10" width="21.42578125" style="93" bestFit="1" customWidth="1"/>
    <col min="11" max="16384" width="11.42578125" style="93" hidden="1"/>
  </cols>
  <sheetData>
    <row r="1" spans="2:10" ht="35.1" customHeight="1">
      <c r="B1" s="1079" t="s">
        <v>418</v>
      </c>
      <c r="C1" s="1092"/>
      <c r="D1" s="1092"/>
      <c r="E1" s="1092"/>
      <c r="F1" s="1092"/>
      <c r="G1" s="1092"/>
      <c r="H1" s="1092"/>
      <c r="I1" s="290"/>
      <c r="J1" s="480" t="s">
        <v>269</v>
      </c>
    </row>
    <row r="2" spans="2:10" s="616" customFormat="1">
      <c r="B2" s="1166" t="s">
        <v>354</v>
      </c>
      <c r="C2" s="1166"/>
      <c r="D2" s="1166"/>
      <c r="E2" s="1166"/>
      <c r="F2" s="1166"/>
      <c r="G2" s="1166"/>
      <c r="H2" s="1166"/>
      <c r="I2" s="614"/>
      <c r="J2" s="615"/>
    </row>
    <row r="3" spans="2:10" s="743" customFormat="1">
      <c r="B3" s="1166" t="s">
        <v>415</v>
      </c>
      <c r="C3" s="1166"/>
      <c r="D3" s="1166"/>
      <c r="E3" s="1166"/>
      <c r="F3" s="1166"/>
      <c r="G3" s="1166"/>
      <c r="H3" s="742"/>
      <c r="I3" s="740"/>
      <c r="J3" s="741"/>
    </row>
    <row r="4" spans="2:10">
      <c r="H4" s="603" t="s">
        <v>314</v>
      </c>
    </row>
    <row r="5" spans="2:10">
      <c r="B5" s="237" t="s">
        <v>75</v>
      </c>
      <c r="C5" s="1342" t="str">
        <f>Mandantendaten!C3</f>
        <v>Max Mustermann</v>
      </c>
      <c r="D5" s="1343"/>
      <c r="E5" s="1343"/>
      <c r="F5" s="1343"/>
      <c r="G5" s="1343"/>
      <c r="H5" s="262">
        <f>Mandantendaten!C5</f>
        <v>44561</v>
      </c>
    </row>
    <row r="6" spans="2:10">
      <c r="B6" s="238"/>
      <c r="C6" s="239"/>
      <c r="D6" s="239"/>
      <c r="E6" s="239"/>
      <c r="F6" s="239"/>
      <c r="G6" s="239"/>
      <c r="H6" s="238"/>
    </row>
    <row r="7" spans="2:10">
      <c r="B7" s="263" t="s">
        <v>111</v>
      </c>
      <c r="C7" s="264"/>
      <c r="D7" s="266"/>
      <c r="E7" s="1341" t="s">
        <v>178</v>
      </c>
      <c r="F7" s="1341"/>
      <c r="G7" s="1341"/>
      <c r="H7" s="264" t="s">
        <v>89</v>
      </c>
    </row>
    <row r="8" spans="2:10">
      <c r="B8" s="283" t="s">
        <v>173</v>
      </c>
      <c r="C8" s="279" t="s">
        <v>153</v>
      </c>
      <c r="D8" s="280" t="s">
        <v>86</v>
      </c>
      <c r="E8" s="281" t="s">
        <v>77</v>
      </c>
      <c r="F8" s="281"/>
      <c r="G8" s="282" t="s">
        <v>86</v>
      </c>
      <c r="H8" s="241"/>
    </row>
    <row r="9" spans="2:10">
      <c r="B9" s="484" t="s">
        <v>96</v>
      </c>
      <c r="C9" s="658" t="s">
        <v>355</v>
      </c>
      <c r="D9" s="491">
        <v>5000</v>
      </c>
      <c r="E9" s="485">
        <v>43844</v>
      </c>
      <c r="F9" s="286">
        <f>IF(E9&lt;=$H$5,1,"")</f>
        <v>1</v>
      </c>
      <c r="G9" s="494">
        <v>5000</v>
      </c>
      <c r="H9" s="243">
        <f>IF(F9=1,D9-G9,D9)</f>
        <v>0</v>
      </c>
    </row>
    <row r="10" spans="2:10">
      <c r="B10" s="486" t="s">
        <v>550</v>
      </c>
      <c r="C10" s="659" t="s">
        <v>355</v>
      </c>
      <c r="D10" s="492">
        <v>500</v>
      </c>
      <c r="E10" s="487">
        <v>44197</v>
      </c>
      <c r="F10" s="286">
        <f t="shared" ref="F10:F15" si="0">IF(E10&lt;=$H$5,1,"")</f>
        <v>1</v>
      </c>
      <c r="G10" s="495">
        <v>500</v>
      </c>
      <c r="H10" s="243">
        <f t="shared" ref="H10:H15" si="1">IF(F10=1,D10-G10,D10)</f>
        <v>0</v>
      </c>
    </row>
    <row r="11" spans="2:10">
      <c r="B11" s="486"/>
      <c r="C11" s="659"/>
      <c r="D11" s="492"/>
      <c r="E11" s="487"/>
      <c r="F11" s="286">
        <f t="shared" si="0"/>
        <v>1</v>
      </c>
      <c r="G11" s="495"/>
      <c r="H11" s="243">
        <f t="shared" si="1"/>
        <v>0</v>
      </c>
    </row>
    <row r="12" spans="2:10">
      <c r="B12" s="486"/>
      <c r="C12" s="659"/>
      <c r="D12" s="492"/>
      <c r="E12" s="487"/>
      <c r="F12" s="286">
        <f t="shared" si="0"/>
        <v>1</v>
      </c>
      <c r="G12" s="495"/>
      <c r="H12" s="243">
        <f t="shared" si="1"/>
        <v>0</v>
      </c>
    </row>
    <row r="13" spans="2:10">
      <c r="B13" s="486"/>
      <c r="C13" s="659"/>
      <c r="D13" s="492"/>
      <c r="E13" s="487"/>
      <c r="F13" s="286">
        <f t="shared" si="0"/>
        <v>1</v>
      </c>
      <c r="G13" s="495"/>
      <c r="H13" s="243">
        <f t="shared" si="1"/>
        <v>0</v>
      </c>
    </row>
    <row r="14" spans="2:10">
      <c r="B14" s="486"/>
      <c r="C14" s="659"/>
      <c r="D14" s="492"/>
      <c r="E14" s="487"/>
      <c r="F14" s="286">
        <f t="shared" si="0"/>
        <v>1</v>
      </c>
      <c r="G14" s="495"/>
      <c r="H14" s="243">
        <f t="shared" si="1"/>
        <v>0</v>
      </c>
    </row>
    <row r="15" spans="2:10">
      <c r="B15" s="488"/>
      <c r="C15" s="660"/>
      <c r="D15" s="493"/>
      <c r="E15" s="489"/>
      <c r="F15" s="286">
        <f t="shared" si="0"/>
        <v>1</v>
      </c>
      <c r="G15" s="496"/>
      <c r="H15" s="243">
        <f t="shared" si="1"/>
        <v>0</v>
      </c>
    </row>
    <row r="16" spans="2:10">
      <c r="B16" s="244"/>
      <c r="C16" s="245"/>
      <c r="D16" s="247"/>
      <c r="E16" s="248"/>
      <c r="F16" s="248"/>
      <c r="G16" s="248"/>
      <c r="H16" s="243"/>
    </row>
    <row r="17" spans="2:8">
      <c r="B17" s="249" t="s">
        <v>115</v>
      </c>
      <c r="C17" s="250"/>
      <c r="D17" s="251">
        <f>SUM(D9:D15)</f>
        <v>5500</v>
      </c>
      <c r="E17" s="251"/>
      <c r="F17" s="251"/>
      <c r="G17" s="251">
        <f>SUM(G9:G15)</f>
        <v>5500</v>
      </c>
      <c r="H17" s="251">
        <f>SUM(H9:H15)</f>
        <v>0</v>
      </c>
    </row>
    <row r="18" spans="2:8">
      <c r="B18" s="238"/>
      <c r="C18" s="239"/>
      <c r="D18" s="242"/>
      <c r="E18" s="242"/>
      <c r="F18" s="242"/>
      <c r="G18" s="252"/>
      <c r="H18" s="238"/>
    </row>
    <row r="19" spans="2:8">
      <c r="B19" s="263" t="s">
        <v>116</v>
      </c>
      <c r="C19" s="264"/>
      <c r="D19" s="266"/>
      <c r="E19" s="1341" t="s">
        <v>178</v>
      </c>
      <c r="F19" s="1341"/>
      <c r="G19" s="1341"/>
      <c r="H19" s="266" t="str">
        <f>H7</f>
        <v>Restbetrag</v>
      </c>
    </row>
    <row r="20" spans="2:8">
      <c r="B20" s="283" t="s">
        <v>173</v>
      </c>
      <c r="C20" s="283" t="s">
        <v>153</v>
      </c>
      <c r="D20" s="284" t="s">
        <v>86</v>
      </c>
      <c r="E20" s="285" t="s">
        <v>77</v>
      </c>
      <c r="F20" s="285"/>
      <c r="G20" s="284" t="s">
        <v>86</v>
      </c>
      <c r="H20" s="241"/>
    </row>
    <row r="21" spans="2:8">
      <c r="B21" s="484" t="s">
        <v>96</v>
      </c>
      <c r="C21" s="658" t="s">
        <v>551</v>
      </c>
      <c r="D21" s="491">
        <v>5000</v>
      </c>
      <c r="E21" s="485">
        <v>44210</v>
      </c>
      <c r="F21" s="286">
        <f>IF(E21&lt;=$H$5,1,"")</f>
        <v>1</v>
      </c>
      <c r="G21" s="494">
        <v>5000</v>
      </c>
      <c r="H21" s="243">
        <f>IF(F21=1,D21-G21,D21)</f>
        <v>0</v>
      </c>
    </row>
    <row r="22" spans="2:8">
      <c r="B22" s="486" t="s">
        <v>550</v>
      </c>
      <c r="C22" s="659" t="s">
        <v>551</v>
      </c>
      <c r="D22" s="492">
        <v>500</v>
      </c>
      <c r="E22" s="487">
        <v>44256</v>
      </c>
      <c r="F22" s="286">
        <f t="shared" ref="F22:F30" si="2">IF(E22&lt;=$H$5,1,"")</f>
        <v>1</v>
      </c>
      <c r="G22" s="495">
        <v>500</v>
      </c>
      <c r="H22" s="243">
        <f t="shared" ref="H22:H30" si="3">IF(F22=1,D22-G22,D22)</f>
        <v>0</v>
      </c>
    </row>
    <row r="23" spans="2:8">
      <c r="B23" s="486"/>
      <c r="C23" s="659"/>
      <c r="D23" s="492"/>
      <c r="E23" s="487"/>
      <c r="F23" s="286">
        <f t="shared" si="2"/>
        <v>1</v>
      </c>
      <c r="G23" s="495"/>
      <c r="H23" s="243">
        <f t="shared" si="3"/>
        <v>0</v>
      </c>
    </row>
    <row r="24" spans="2:8">
      <c r="B24" s="486"/>
      <c r="C24" s="659"/>
      <c r="D24" s="492"/>
      <c r="E24" s="487"/>
      <c r="F24" s="286">
        <f t="shared" si="2"/>
        <v>1</v>
      </c>
      <c r="G24" s="495"/>
      <c r="H24" s="243">
        <f t="shared" si="3"/>
        <v>0</v>
      </c>
    </row>
    <row r="25" spans="2:8">
      <c r="B25" s="486"/>
      <c r="C25" s="659"/>
      <c r="D25" s="492"/>
      <c r="E25" s="487"/>
      <c r="F25" s="286">
        <f t="shared" si="2"/>
        <v>1</v>
      </c>
      <c r="G25" s="495"/>
      <c r="H25" s="243">
        <f t="shared" si="3"/>
        <v>0</v>
      </c>
    </row>
    <row r="26" spans="2:8">
      <c r="B26" s="486"/>
      <c r="C26" s="659"/>
      <c r="D26" s="492"/>
      <c r="E26" s="487"/>
      <c r="F26" s="286">
        <f t="shared" si="2"/>
        <v>1</v>
      </c>
      <c r="G26" s="495"/>
      <c r="H26" s="243">
        <f t="shared" si="3"/>
        <v>0</v>
      </c>
    </row>
    <row r="27" spans="2:8">
      <c r="B27" s="486"/>
      <c r="C27" s="659"/>
      <c r="D27" s="492"/>
      <c r="E27" s="487"/>
      <c r="F27" s="286">
        <f t="shared" si="2"/>
        <v>1</v>
      </c>
      <c r="G27" s="495"/>
      <c r="H27" s="243">
        <f t="shared" si="3"/>
        <v>0</v>
      </c>
    </row>
    <row r="28" spans="2:8">
      <c r="B28" s="486"/>
      <c r="C28" s="659"/>
      <c r="D28" s="492"/>
      <c r="E28" s="487"/>
      <c r="F28" s="286">
        <f t="shared" si="2"/>
        <v>1</v>
      </c>
      <c r="G28" s="495"/>
      <c r="H28" s="243">
        <f t="shared" si="3"/>
        <v>0</v>
      </c>
    </row>
    <row r="29" spans="2:8">
      <c r="B29" s="486"/>
      <c r="C29" s="659"/>
      <c r="D29" s="492"/>
      <c r="E29" s="487"/>
      <c r="F29" s="286">
        <f t="shared" si="2"/>
        <v>1</v>
      </c>
      <c r="G29" s="495"/>
      <c r="H29" s="243">
        <f t="shared" si="3"/>
        <v>0</v>
      </c>
    </row>
    <row r="30" spans="2:8">
      <c r="B30" s="488"/>
      <c r="C30" s="660"/>
      <c r="D30" s="493"/>
      <c r="E30" s="489"/>
      <c r="F30" s="286">
        <f t="shared" si="2"/>
        <v>1</v>
      </c>
      <c r="G30" s="496"/>
      <c r="H30" s="243">
        <f t="shared" si="3"/>
        <v>0</v>
      </c>
    </row>
    <row r="31" spans="2:8">
      <c r="B31" s="244"/>
      <c r="C31" s="245"/>
      <c r="D31" s="247"/>
      <c r="E31" s="248"/>
      <c r="F31" s="248"/>
      <c r="G31" s="248"/>
      <c r="H31" s="243"/>
    </row>
    <row r="32" spans="2:8">
      <c r="B32" s="253" t="s">
        <v>117</v>
      </c>
      <c r="C32" s="254"/>
      <c r="D32" s="251">
        <f>SUM(D21:D30)</f>
        <v>5500</v>
      </c>
      <c r="E32" s="255"/>
      <c r="F32" s="255"/>
      <c r="G32" s="251">
        <f>SUM(G21:G30)</f>
        <v>5500</v>
      </c>
      <c r="H32" s="251">
        <f>SUM(H21:H30)</f>
        <v>0</v>
      </c>
    </row>
    <row r="33" spans="2:8">
      <c r="B33" s="246"/>
      <c r="C33" s="256"/>
      <c r="D33" s="257"/>
      <c r="E33" s="257"/>
      <c r="F33" s="257"/>
      <c r="G33" s="258"/>
      <c r="H33" s="238"/>
    </row>
    <row r="34" spans="2:8" ht="30">
      <c r="B34" s="483" t="s">
        <v>278</v>
      </c>
      <c r="C34" s="498">
        <f>H5</f>
        <v>44561</v>
      </c>
      <c r="D34" s="255"/>
      <c r="E34" s="255"/>
      <c r="F34" s="255"/>
      <c r="G34" s="255"/>
      <c r="H34" s="386">
        <f>H17+H32</f>
        <v>0</v>
      </c>
    </row>
    <row r="35" spans="2:8">
      <c r="B35" s="260" t="s">
        <v>119</v>
      </c>
      <c r="C35" s="256"/>
      <c r="D35" s="257"/>
      <c r="E35" s="257"/>
      <c r="F35" s="257"/>
      <c r="G35" s="258"/>
      <c r="H35" s="481"/>
    </row>
    <row r="36" spans="2:8">
      <c r="B36" s="253" t="s">
        <v>120</v>
      </c>
      <c r="C36" s="261"/>
      <c r="D36" s="255"/>
      <c r="E36" s="255"/>
      <c r="F36" s="255"/>
      <c r="G36" s="255"/>
      <c r="H36" s="490">
        <f>H34-H35</f>
        <v>0</v>
      </c>
    </row>
    <row r="37" spans="2:8"/>
  </sheetData>
  <sheetProtection algorithmName="SHA-512" hashValue="IS8WSy1KEhGBmPY9TLwMzIhiDxJq31L8Ohl6d41IOrGrGDPPvhlhBzumJXiYN58Qjk4Oas5Fd7NE/sxDALWO4w==" saltValue="LOzCIPHHGNXAJEIdMmUnIg==" spinCount="100000" sheet="1" objects="1" scenarios="1"/>
  <mergeCells count="6">
    <mergeCell ref="C5:G5"/>
    <mergeCell ref="E7:G7"/>
    <mergeCell ref="E19:G19"/>
    <mergeCell ref="B1:H1"/>
    <mergeCell ref="B2:H2"/>
    <mergeCell ref="B3:G3"/>
  </mergeCells>
  <hyperlinks>
    <hyperlink ref="J1" location="Inhaltsverzeichnis!A1" display="zum Inhaltsverzeichnis" xr:uid="{84FFD864-06CD-42D5-B6CB-8896021F125C}"/>
  </hyperlinks>
  <pageMargins left="0.7" right="0.7" top="0.78740157499999996" bottom="0.78740157499999996" header="0.3" footer="0.3"/>
  <pageSetup paperSize="9" scale="91" orientation="landscape" r:id="rId1"/>
  <colBreaks count="1" manualBreakCount="1">
    <brk id="9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889A-B23B-4F90-B716-6D435896F7C5}">
  <sheetPr>
    <pageSetUpPr fitToPage="1"/>
  </sheetPr>
  <dimension ref="A1:J37"/>
  <sheetViews>
    <sheetView showGridLines="0" zoomScaleNormal="100" workbookViewId="0">
      <pane ySplit="6" topLeftCell="A7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style="93" customWidth="1"/>
    <col min="2" max="2" width="29.140625" style="93" customWidth="1"/>
    <col min="3" max="3" width="18.7109375" style="93" customWidth="1"/>
    <col min="4" max="4" width="22.42578125" style="93" customWidth="1"/>
    <col min="5" max="5" width="19.140625" style="93" customWidth="1"/>
    <col min="6" max="6" width="10.28515625" style="93" hidden="1" customWidth="1"/>
    <col min="7" max="7" width="26.42578125" style="93" customWidth="1"/>
    <col min="8" max="8" width="17.7109375" style="93" customWidth="1"/>
    <col min="9" max="9" width="1.7109375" style="93" customWidth="1"/>
    <col min="10" max="10" width="21.42578125" style="93" bestFit="1" customWidth="1"/>
    <col min="11" max="16384" width="11.42578125" style="93" hidden="1"/>
  </cols>
  <sheetData>
    <row r="1" spans="2:10" ht="35.1" customHeight="1">
      <c r="B1" s="1079" t="s">
        <v>419</v>
      </c>
      <c r="C1" s="1092"/>
      <c r="D1" s="1092"/>
      <c r="E1" s="1092"/>
      <c r="F1" s="1092"/>
      <c r="G1" s="1092"/>
      <c r="H1" s="1092"/>
      <c r="I1" s="290"/>
      <c r="J1" s="480" t="s">
        <v>269</v>
      </c>
    </row>
    <row r="2" spans="2:10" s="616" customFormat="1">
      <c r="B2" s="1166" t="s">
        <v>354</v>
      </c>
      <c r="C2" s="1166"/>
      <c r="D2" s="1166"/>
      <c r="E2" s="1166"/>
      <c r="F2" s="1166"/>
      <c r="G2" s="1166"/>
      <c r="H2" s="1166"/>
      <c r="I2" s="614"/>
      <c r="J2" s="615"/>
    </row>
    <row r="3" spans="2:10" s="743" customFormat="1">
      <c r="B3" s="1166" t="s">
        <v>415</v>
      </c>
      <c r="C3" s="1166"/>
      <c r="D3" s="1166"/>
      <c r="E3" s="1166"/>
      <c r="F3" s="1166"/>
      <c r="G3" s="1166"/>
      <c r="H3" s="742"/>
      <c r="I3" s="740"/>
      <c r="J3" s="741"/>
    </row>
    <row r="4" spans="2:10">
      <c r="H4" s="603" t="s">
        <v>314</v>
      </c>
    </row>
    <row r="5" spans="2:10">
      <c r="B5" s="237" t="s">
        <v>75</v>
      </c>
      <c r="C5" s="1342" t="str">
        <f>Mandantendaten!C3</f>
        <v>Max Mustermann</v>
      </c>
      <c r="D5" s="1343"/>
      <c r="E5" s="1343"/>
      <c r="F5" s="1343"/>
      <c r="G5" s="1343"/>
      <c r="H5" s="262">
        <f>Mandantendaten!C5</f>
        <v>44561</v>
      </c>
    </row>
    <row r="6" spans="2:10">
      <c r="B6" s="238"/>
      <c r="C6" s="239"/>
      <c r="D6" s="239"/>
      <c r="E6" s="239"/>
      <c r="F6" s="239"/>
      <c r="G6" s="239"/>
      <c r="H6" s="238"/>
    </row>
    <row r="7" spans="2:10">
      <c r="B7" s="263" t="s">
        <v>111</v>
      </c>
      <c r="C7" s="264"/>
      <c r="D7" s="266"/>
      <c r="E7" s="1341" t="s">
        <v>178</v>
      </c>
      <c r="F7" s="1341"/>
      <c r="G7" s="1341"/>
      <c r="H7" s="264" t="s">
        <v>89</v>
      </c>
    </row>
    <row r="8" spans="2:10">
      <c r="B8" s="283" t="s">
        <v>179</v>
      </c>
      <c r="C8" s="279" t="s">
        <v>153</v>
      </c>
      <c r="D8" s="280" t="s">
        <v>86</v>
      </c>
      <c r="E8" s="281" t="s">
        <v>77</v>
      </c>
      <c r="F8" s="281"/>
      <c r="G8" s="282" t="s">
        <v>86</v>
      </c>
      <c r="H8" s="241"/>
    </row>
    <row r="9" spans="2:10">
      <c r="B9" s="484" t="s">
        <v>552</v>
      </c>
      <c r="C9" s="485">
        <v>44166</v>
      </c>
      <c r="D9" s="491">
        <v>10000</v>
      </c>
      <c r="E9" s="485">
        <v>44228</v>
      </c>
      <c r="F9" s="286">
        <f>IF(E9&lt;=$H$5,1,"")</f>
        <v>1</v>
      </c>
      <c r="G9" s="494">
        <v>10000</v>
      </c>
      <c r="H9" s="243">
        <f>IF(F9=1,D9-G9,D9)</f>
        <v>0</v>
      </c>
    </row>
    <row r="10" spans="2:10">
      <c r="B10" s="486" t="s">
        <v>552</v>
      </c>
      <c r="C10" s="487">
        <v>44136</v>
      </c>
      <c r="D10" s="492">
        <v>20000</v>
      </c>
      <c r="E10" s="487">
        <v>44562</v>
      </c>
      <c r="F10" s="286" t="str">
        <f t="shared" ref="F10:F15" si="0">IF(E10&lt;=$H$5,1,"")</f>
        <v/>
      </c>
      <c r="G10" s="495">
        <v>20000</v>
      </c>
      <c r="H10" s="243">
        <f t="shared" ref="H10:H15" si="1">IF(F10=1,D10-G10,D10)</f>
        <v>20000</v>
      </c>
    </row>
    <row r="11" spans="2:10">
      <c r="B11" s="486"/>
      <c r="C11" s="487"/>
      <c r="D11" s="492"/>
      <c r="E11" s="487"/>
      <c r="F11" s="286">
        <f t="shared" si="0"/>
        <v>1</v>
      </c>
      <c r="G11" s="495"/>
      <c r="H11" s="243">
        <f t="shared" si="1"/>
        <v>0</v>
      </c>
    </row>
    <row r="12" spans="2:10">
      <c r="B12" s="486"/>
      <c r="C12" s="487"/>
      <c r="D12" s="492"/>
      <c r="E12" s="487"/>
      <c r="F12" s="286">
        <f t="shared" si="0"/>
        <v>1</v>
      </c>
      <c r="G12" s="495"/>
      <c r="H12" s="243">
        <f t="shared" si="1"/>
        <v>0</v>
      </c>
    </row>
    <row r="13" spans="2:10">
      <c r="B13" s="486"/>
      <c r="C13" s="487"/>
      <c r="D13" s="492"/>
      <c r="E13" s="487"/>
      <c r="F13" s="286">
        <f t="shared" si="0"/>
        <v>1</v>
      </c>
      <c r="G13" s="495"/>
      <c r="H13" s="243">
        <f t="shared" si="1"/>
        <v>0</v>
      </c>
    </row>
    <row r="14" spans="2:10">
      <c r="B14" s="486"/>
      <c r="C14" s="487"/>
      <c r="D14" s="492"/>
      <c r="E14" s="487"/>
      <c r="F14" s="286">
        <f t="shared" si="0"/>
        <v>1</v>
      </c>
      <c r="G14" s="495"/>
      <c r="H14" s="243">
        <f t="shared" si="1"/>
        <v>0</v>
      </c>
    </row>
    <row r="15" spans="2:10">
      <c r="B15" s="488"/>
      <c r="C15" s="489"/>
      <c r="D15" s="493"/>
      <c r="E15" s="489"/>
      <c r="F15" s="286">
        <f t="shared" si="0"/>
        <v>1</v>
      </c>
      <c r="G15" s="496"/>
      <c r="H15" s="243">
        <f t="shared" si="1"/>
        <v>0</v>
      </c>
    </row>
    <row r="16" spans="2:10">
      <c r="B16" s="244"/>
      <c r="C16" s="245"/>
      <c r="D16" s="247"/>
      <c r="E16" s="248"/>
      <c r="F16" s="248"/>
      <c r="G16" s="248"/>
      <c r="H16" s="243"/>
    </row>
    <row r="17" spans="2:8">
      <c r="B17" s="249" t="s">
        <v>115</v>
      </c>
      <c r="C17" s="250"/>
      <c r="D17" s="251">
        <f>SUM(D9:D15)</f>
        <v>30000</v>
      </c>
      <c r="E17" s="251"/>
      <c r="F17" s="251"/>
      <c r="G17" s="251">
        <f>SUM(G9:G15)</f>
        <v>30000</v>
      </c>
      <c r="H17" s="251">
        <f>SUM(H9:H15)</f>
        <v>20000</v>
      </c>
    </row>
    <row r="18" spans="2:8">
      <c r="B18" s="238"/>
      <c r="C18" s="239"/>
      <c r="D18" s="242"/>
      <c r="E18" s="242"/>
      <c r="F18" s="242"/>
      <c r="G18" s="252"/>
      <c r="H18" s="238"/>
    </row>
    <row r="19" spans="2:8">
      <c r="B19" s="263" t="s">
        <v>116</v>
      </c>
      <c r="C19" s="264"/>
      <c r="D19" s="266"/>
      <c r="E19" s="1341" t="s">
        <v>178</v>
      </c>
      <c r="F19" s="1341"/>
      <c r="G19" s="1341"/>
      <c r="H19" s="266" t="str">
        <f>H7</f>
        <v>Restbetrag</v>
      </c>
    </row>
    <row r="20" spans="2:8">
      <c r="B20" s="283" t="s">
        <v>179</v>
      </c>
      <c r="C20" s="283" t="s">
        <v>153</v>
      </c>
      <c r="D20" s="284" t="s">
        <v>86</v>
      </c>
      <c r="E20" s="285" t="s">
        <v>77</v>
      </c>
      <c r="F20" s="285"/>
      <c r="G20" s="284" t="s">
        <v>86</v>
      </c>
      <c r="H20" s="241"/>
    </row>
    <row r="21" spans="2:8">
      <c r="B21" s="484"/>
      <c r="C21" s="485"/>
      <c r="D21" s="491"/>
      <c r="E21" s="485"/>
      <c r="F21" s="286">
        <f>IF(E21&lt;$H$5,1,"")</f>
        <v>1</v>
      </c>
      <c r="G21" s="494"/>
      <c r="H21" s="243">
        <f>IF(F21=1,D21-G21,D21)</f>
        <v>0</v>
      </c>
    </row>
    <row r="22" spans="2:8">
      <c r="B22" s="486"/>
      <c r="C22" s="487"/>
      <c r="D22" s="492"/>
      <c r="E22" s="487"/>
      <c r="F22" s="286">
        <f t="shared" ref="F22:F30" si="2">IF(E22&lt;$H$5,1,"")</f>
        <v>1</v>
      </c>
      <c r="G22" s="495"/>
      <c r="H22" s="243">
        <f t="shared" ref="H22:H30" si="3">IF(F22=1,D22-G22,D22)</f>
        <v>0</v>
      </c>
    </row>
    <row r="23" spans="2:8">
      <c r="B23" s="486"/>
      <c r="C23" s="487"/>
      <c r="D23" s="492"/>
      <c r="E23" s="487"/>
      <c r="F23" s="286">
        <f t="shared" si="2"/>
        <v>1</v>
      </c>
      <c r="G23" s="495"/>
      <c r="H23" s="243">
        <f t="shared" si="3"/>
        <v>0</v>
      </c>
    </row>
    <row r="24" spans="2:8">
      <c r="B24" s="486"/>
      <c r="C24" s="487"/>
      <c r="D24" s="492"/>
      <c r="E24" s="487"/>
      <c r="F24" s="286">
        <f t="shared" si="2"/>
        <v>1</v>
      </c>
      <c r="G24" s="495"/>
      <c r="H24" s="243">
        <f t="shared" si="3"/>
        <v>0</v>
      </c>
    </row>
    <row r="25" spans="2:8">
      <c r="B25" s="486"/>
      <c r="C25" s="487"/>
      <c r="D25" s="492"/>
      <c r="E25" s="487"/>
      <c r="F25" s="286">
        <f t="shared" si="2"/>
        <v>1</v>
      </c>
      <c r="G25" s="495"/>
      <c r="H25" s="243">
        <f t="shared" si="3"/>
        <v>0</v>
      </c>
    </row>
    <row r="26" spans="2:8">
      <c r="B26" s="486"/>
      <c r="C26" s="487"/>
      <c r="D26" s="492"/>
      <c r="E26" s="487"/>
      <c r="F26" s="286">
        <f t="shared" si="2"/>
        <v>1</v>
      </c>
      <c r="G26" s="495"/>
      <c r="H26" s="243">
        <f t="shared" si="3"/>
        <v>0</v>
      </c>
    </row>
    <row r="27" spans="2:8">
      <c r="B27" s="486"/>
      <c r="C27" s="487"/>
      <c r="D27" s="492"/>
      <c r="E27" s="487"/>
      <c r="F27" s="286">
        <f t="shared" si="2"/>
        <v>1</v>
      </c>
      <c r="G27" s="495"/>
      <c r="H27" s="243">
        <f t="shared" si="3"/>
        <v>0</v>
      </c>
    </row>
    <row r="28" spans="2:8">
      <c r="B28" s="486"/>
      <c r="C28" s="487"/>
      <c r="D28" s="492"/>
      <c r="E28" s="487"/>
      <c r="F28" s="286">
        <f t="shared" si="2"/>
        <v>1</v>
      </c>
      <c r="G28" s="495"/>
      <c r="H28" s="243">
        <f t="shared" si="3"/>
        <v>0</v>
      </c>
    </row>
    <row r="29" spans="2:8">
      <c r="B29" s="486"/>
      <c r="C29" s="487"/>
      <c r="D29" s="492"/>
      <c r="E29" s="487"/>
      <c r="F29" s="286">
        <f t="shared" si="2"/>
        <v>1</v>
      </c>
      <c r="G29" s="495"/>
      <c r="H29" s="243">
        <f t="shared" si="3"/>
        <v>0</v>
      </c>
    </row>
    <row r="30" spans="2:8">
      <c r="B30" s="488"/>
      <c r="C30" s="489"/>
      <c r="D30" s="493"/>
      <c r="E30" s="489"/>
      <c r="F30" s="286">
        <f t="shared" si="2"/>
        <v>1</v>
      </c>
      <c r="G30" s="496"/>
      <c r="H30" s="243">
        <f t="shared" si="3"/>
        <v>0</v>
      </c>
    </row>
    <row r="31" spans="2:8">
      <c r="B31" s="244"/>
      <c r="C31" s="245"/>
      <c r="D31" s="247"/>
      <c r="E31" s="248"/>
      <c r="F31" s="248"/>
      <c r="G31" s="248"/>
      <c r="H31" s="243"/>
    </row>
    <row r="32" spans="2:8">
      <c r="B32" s="253" t="s">
        <v>117</v>
      </c>
      <c r="C32" s="254"/>
      <c r="D32" s="251">
        <f>SUM(D21:D30)</f>
        <v>0</v>
      </c>
      <c r="E32" s="255"/>
      <c r="F32" s="255"/>
      <c r="G32" s="251">
        <f>SUM(G21:G30)</f>
        <v>0</v>
      </c>
      <c r="H32" s="251">
        <f>SUM(H21:H30)</f>
        <v>0</v>
      </c>
    </row>
    <row r="33" spans="2:8">
      <c r="B33" s="246"/>
      <c r="C33" s="256"/>
      <c r="D33" s="257"/>
      <c r="E33" s="257"/>
      <c r="F33" s="257"/>
      <c r="G33" s="258"/>
      <c r="H33" s="238"/>
    </row>
    <row r="34" spans="2:8" ht="30">
      <c r="B34" s="483" t="s">
        <v>279</v>
      </c>
      <c r="C34" s="498">
        <f>H5</f>
        <v>44561</v>
      </c>
      <c r="D34" s="497"/>
      <c r="E34" s="497"/>
      <c r="F34" s="497"/>
      <c r="G34" s="497"/>
      <c r="H34" s="386">
        <f>H17+H32</f>
        <v>20000</v>
      </c>
    </row>
    <row r="35" spans="2:8">
      <c r="B35" s="260" t="s">
        <v>119</v>
      </c>
      <c r="C35" s="256"/>
      <c r="D35" s="257"/>
      <c r="E35" s="257"/>
      <c r="F35" s="257"/>
      <c r="G35" s="258"/>
      <c r="H35" s="481"/>
    </row>
    <row r="36" spans="2:8">
      <c r="B36" s="253" t="s">
        <v>120</v>
      </c>
      <c r="C36" s="261"/>
      <c r="D36" s="255"/>
      <c r="E36" s="255"/>
      <c r="F36" s="255"/>
      <c r="G36" s="255"/>
      <c r="H36" s="490">
        <f>H34-H35</f>
        <v>20000</v>
      </c>
    </row>
    <row r="37" spans="2:8"/>
  </sheetData>
  <sheetProtection algorithmName="SHA-512" hashValue="qxY8TZjZwi8YmXVdh/UTDMKsWUkMyyGcmeGqOoezAaZIn+4rVTtjgm2YnwSqT6EedYxDirWqOzHjxXTSa8vyOg==" saltValue="FY/ExT7GfWGHFpd3OM2TrQ==" spinCount="100000" sheet="1" objects="1" scenarios="1"/>
  <mergeCells count="6">
    <mergeCell ref="B1:H1"/>
    <mergeCell ref="C5:G5"/>
    <mergeCell ref="E7:G7"/>
    <mergeCell ref="E19:G19"/>
    <mergeCell ref="B2:H2"/>
    <mergeCell ref="B3:G3"/>
  </mergeCells>
  <hyperlinks>
    <hyperlink ref="J1" location="Inhaltsverzeichnis!A1" display="zum Inhaltsverzeichnis" xr:uid="{E8F2C1AA-4A0F-4EC8-B63C-14E0EB3271C8}"/>
  </hyperlinks>
  <pageMargins left="0.7" right="0.7" top="0.78740157499999996" bottom="0.78740157499999996" header="0.3" footer="0.3"/>
  <pageSetup paperSize="9" scale="86" orientation="landscape" r:id="rId1"/>
  <colBreaks count="1" manualBreakCount="1">
    <brk id="9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C060-2A7E-4B6B-AFBD-D51A68AC16C4}">
  <sheetPr>
    <pageSetUpPr fitToPage="1"/>
  </sheetPr>
  <dimension ref="A1:J37"/>
  <sheetViews>
    <sheetView showGridLines="0" zoomScaleNormal="100" workbookViewId="0">
      <pane ySplit="6" topLeftCell="A7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style="93" customWidth="1"/>
    <col min="2" max="2" width="30" style="93" customWidth="1"/>
    <col min="3" max="3" width="16.7109375" style="93" customWidth="1"/>
    <col min="4" max="4" width="22.140625" style="93" customWidth="1"/>
    <col min="5" max="5" width="19.140625" style="93" customWidth="1"/>
    <col min="6" max="6" width="12.5703125" style="93" hidden="1" customWidth="1"/>
    <col min="7" max="7" width="21.5703125" style="93" customWidth="1"/>
    <col min="8" max="8" width="15.28515625" style="93" bestFit="1" customWidth="1"/>
    <col min="9" max="9" width="1.7109375" style="93" customWidth="1"/>
    <col min="10" max="10" width="21.42578125" style="93" bestFit="1" customWidth="1"/>
    <col min="11" max="16384" width="11.42578125" style="93" hidden="1"/>
  </cols>
  <sheetData>
    <row r="1" spans="2:10" ht="35.1" customHeight="1">
      <c r="B1" s="1079" t="s">
        <v>420</v>
      </c>
      <c r="C1" s="1092"/>
      <c r="D1" s="1092"/>
      <c r="E1" s="1092"/>
      <c r="F1" s="1092"/>
      <c r="G1" s="1092"/>
      <c r="H1" s="1092"/>
      <c r="I1" s="290"/>
      <c r="J1" s="480" t="s">
        <v>280</v>
      </c>
    </row>
    <row r="2" spans="2:10">
      <c r="B2" s="1344" t="s">
        <v>354</v>
      </c>
      <c r="C2" s="1344"/>
      <c r="D2" s="1344"/>
      <c r="E2" s="1344"/>
      <c r="F2" s="1344"/>
      <c r="G2" s="1344"/>
      <c r="H2" s="1344"/>
    </row>
    <row r="3" spans="2:10" s="743" customFormat="1">
      <c r="B3" s="1344" t="s">
        <v>415</v>
      </c>
      <c r="C3" s="1344"/>
      <c r="D3" s="1344"/>
      <c r="E3" s="1344"/>
      <c r="F3" s="1344"/>
      <c r="G3" s="1344"/>
      <c r="H3" s="745"/>
    </row>
    <row r="4" spans="2:10" s="616" customFormat="1">
      <c r="B4" s="661"/>
      <c r="C4" s="661"/>
      <c r="D4" s="661"/>
      <c r="E4" s="661"/>
      <c r="F4" s="661"/>
      <c r="G4" s="661"/>
      <c r="H4" s="662" t="s">
        <v>314</v>
      </c>
    </row>
    <row r="5" spans="2:10">
      <c r="B5" s="237" t="s">
        <v>75</v>
      </c>
      <c r="C5" s="1342" t="str">
        <f>Mandantendaten!C3</f>
        <v>Max Mustermann</v>
      </c>
      <c r="D5" s="1343"/>
      <c r="E5" s="1343"/>
      <c r="F5" s="1343"/>
      <c r="G5" s="1343"/>
      <c r="H5" s="262">
        <f>Mandantendaten!C5</f>
        <v>44561</v>
      </c>
    </row>
    <row r="6" spans="2:10">
      <c r="B6" s="238"/>
      <c r="C6" s="239"/>
      <c r="D6" s="239"/>
      <c r="E6" s="239"/>
      <c r="F6" s="239"/>
      <c r="G6" s="239"/>
      <c r="H6" s="238"/>
    </row>
    <row r="7" spans="2:10">
      <c r="B7" s="263" t="s">
        <v>111</v>
      </c>
      <c r="C7" s="264"/>
      <c r="D7" s="266"/>
      <c r="E7" s="1341" t="s">
        <v>178</v>
      </c>
      <c r="F7" s="1341"/>
      <c r="G7" s="1341"/>
      <c r="H7" s="264" t="s">
        <v>89</v>
      </c>
    </row>
    <row r="8" spans="2:10">
      <c r="B8" s="283" t="s">
        <v>180</v>
      </c>
      <c r="C8" s="279" t="s">
        <v>153</v>
      </c>
      <c r="D8" s="280" t="s">
        <v>86</v>
      </c>
      <c r="E8" s="281" t="s">
        <v>77</v>
      </c>
      <c r="F8" s="281"/>
      <c r="G8" s="282" t="s">
        <v>86</v>
      </c>
      <c r="H8" s="241"/>
    </row>
    <row r="9" spans="2:10">
      <c r="B9" s="484"/>
      <c r="C9" s="485"/>
      <c r="D9" s="491"/>
      <c r="E9" s="485"/>
      <c r="F9" s="286">
        <f>IF(E9&lt;=$H$5,1,"")</f>
        <v>1</v>
      </c>
      <c r="G9" s="494"/>
      <c r="H9" s="243">
        <f t="shared" ref="H9:H15" si="0">D9-G9</f>
        <v>0</v>
      </c>
    </row>
    <row r="10" spans="2:10">
      <c r="B10" s="486"/>
      <c r="C10" s="487"/>
      <c r="D10" s="492"/>
      <c r="E10" s="487"/>
      <c r="F10" s="286">
        <f t="shared" ref="F10:F15" si="1">IF(E10&lt;=$H$5,1,"")</f>
        <v>1</v>
      </c>
      <c r="G10" s="495"/>
      <c r="H10" s="243">
        <f t="shared" si="0"/>
        <v>0</v>
      </c>
    </row>
    <row r="11" spans="2:10">
      <c r="B11" s="486"/>
      <c r="C11" s="487"/>
      <c r="D11" s="492"/>
      <c r="E11" s="487"/>
      <c r="F11" s="286">
        <f t="shared" si="1"/>
        <v>1</v>
      </c>
      <c r="G11" s="495"/>
      <c r="H11" s="243">
        <f t="shared" si="0"/>
        <v>0</v>
      </c>
    </row>
    <row r="12" spans="2:10">
      <c r="B12" s="486"/>
      <c r="C12" s="487"/>
      <c r="D12" s="492"/>
      <c r="E12" s="487"/>
      <c r="F12" s="286">
        <f t="shared" si="1"/>
        <v>1</v>
      </c>
      <c r="G12" s="495"/>
      <c r="H12" s="243">
        <f t="shared" si="0"/>
        <v>0</v>
      </c>
    </row>
    <row r="13" spans="2:10">
      <c r="B13" s="486"/>
      <c r="C13" s="487"/>
      <c r="D13" s="492"/>
      <c r="E13" s="487"/>
      <c r="F13" s="286">
        <f t="shared" si="1"/>
        <v>1</v>
      </c>
      <c r="G13" s="495"/>
      <c r="H13" s="243">
        <f t="shared" si="0"/>
        <v>0</v>
      </c>
    </row>
    <row r="14" spans="2:10">
      <c r="B14" s="486"/>
      <c r="C14" s="487"/>
      <c r="D14" s="492"/>
      <c r="E14" s="487"/>
      <c r="F14" s="286">
        <f t="shared" si="1"/>
        <v>1</v>
      </c>
      <c r="G14" s="495"/>
      <c r="H14" s="243">
        <f t="shared" si="0"/>
        <v>0</v>
      </c>
    </row>
    <row r="15" spans="2:10">
      <c r="B15" s="488"/>
      <c r="C15" s="489"/>
      <c r="D15" s="493"/>
      <c r="E15" s="489"/>
      <c r="F15" s="286">
        <f t="shared" si="1"/>
        <v>1</v>
      </c>
      <c r="G15" s="496"/>
      <c r="H15" s="243">
        <f t="shared" si="0"/>
        <v>0</v>
      </c>
    </row>
    <row r="16" spans="2:10">
      <c r="B16" s="244"/>
      <c r="C16" s="245"/>
      <c r="D16" s="247"/>
      <c r="E16" s="248"/>
      <c r="F16" s="248"/>
      <c r="G16" s="248"/>
      <c r="H16" s="243"/>
    </row>
    <row r="17" spans="2:8">
      <c r="B17" s="249" t="s">
        <v>115</v>
      </c>
      <c r="C17" s="250"/>
      <c r="D17" s="251">
        <f>SUM(D9:D15)</f>
        <v>0</v>
      </c>
      <c r="E17" s="251"/>
      <c r="F17" s="251"/>
      <c r="G17" s="251">
        <f>SUM(G9:G15)</f>
        <v>0</v>
      </c>
      <c r="H17" s="251">
        <f>SUM(H9:H15)</f>
        <v>0</v>
      </c>
    </row>
    <row r="18" spans="2:8">
      <c r="B18" s="238"/>
      <c r="C18" s="239"/>
      <c r="D18" s="242"/>
      <c r="E18" s="242"/>
      <c r="F18" s="242"/>
      <c r="G18" s="252"/>
      <c r="H18" s="238"/>
    </row>
    <row r="19" spans="2:8">
      <c r="B19" s="263" t="s">
        <v>116</v>
      </c>
      <c r="C19" s="264"/>
      <c r="D19" s="266"/>
      <c r="E19" s="1341" t="s">
        <v>178</v>
      </c>
      <c r="F19" s="1341"/>
      <c r="G19" s="1341"/>
      <c r="H19" s="266" t="str">
        <f>H7</f>
        <v>Restbetrag</v>
      </c>
    </row>
    <row r="20" spans="2:8">
      <c r="B20" s="283" t="s">
        <v>180</v>
      </c>
      <c r="C20" s="283" t="s">
        <v>153</v>
      </c>
      <c r="D20" s="284" t="s">
        <v>86</v>
      </c>
      <c r="E20" s="285" t="s">
        <v>77</v>
      </c>
      <c r="F20" s="285"/>
      <c r="G20" s="284" t="s">
        <v>86</v>
      </c>
      <c r="H20" s="241"/>
    </row>
    <row r="21" spans="2:8">
      <c r="B21" s="484"/>
      <c r="C21" s="485"/>
      <c r="D21" s="491"/>
      <c r="E21" s="485"/>
      <c r="F21" s="286">
        <f t="shared" ref="F21:F30" si="2">IF(E21&lt;=$H$5,1,"")</f>
        <v>1</v>
      </c>
      <c r="G21" s="494"/>
      <c r="H21" s="243">
        <f t="shared" ref="H21:H30" si="3">D21-G21</f>
        <v>0</v>
      </c>
    </row>
    <row r="22" spans="2:8">
      <c r="B22" s="486"/>
      <c r="C22" s="487"/>
      <c r="D22" s="492"/>
      <c r="E22" s="487"/>
      <c r="F22" s="286">
        <f t="shared" si="2"/>
        <v>1</v>
      </c>
      <c r="G22" s="495"/>
      <c r="H22" s="243">
        <f t="shared" si="3"/>
        <v>0</v>
      </c>
    </row>
    <row r="23" spans="2:8">
      <c r="B23" s="486"/>
      <c r="C23" s="487"/>
      <c r="D23" s="492"/>
      <c r="E23" s="487"/>
      <c r="F23" s="286">
        <f t="shared" si="2"/>
        <v>1</v>
      </c>
      <c r="G23" s="495"/>
      <c r="H23" s="243">
        <f t="shared" si="3"/>
        <v>0</v>
      </c>
    </row>
    <row r="24" spans="2:8">
      <c r="B24" s="486"/>
      <c r="C24" s="487"/>
      <c r="D24" s="492"/>
      <c r="E24" s="487"/>
      <c r="F24" s="286">
        <f t="shared" si="2"/>
        <v>1</v>
      </c>
      <c r="G24" s="495"/>
      <c r="H24" s="243">
        <f t="shared" si="3"/>
        <v>0</v>
      </c>
    </row>
    <row r="25" spans="2:8">
      <c r="B25" s="486"/>
      <c r="C25" s="487"/>
      <c r="D25" s="492"/>
      <c r="E25" s="487"/>
      <c r="F25" s="286">
        <f t="shared" si="2"/>
        <v>1</v>
      </c>
      <c r="G25" s="495"/>
      <c r="H25" s="243">
        <f t="shared" si="3"/>
        <v>0</v>
      </c>
    </row>
    <row r="26" spans="2:8">
      <c r="B26" s="486"/>
      <c r="C26" s="487"/>
      <c r="D26" s="492"/>
      <c r="E26" s="487"/>
      <c r="F26" s="286">
        <f t="shared" si="2"/>
        <v>1</v>
      </c>
      <c r="G26" s="495"/>
      <c r="H26" s="243">
        <f t="shared" si="3"/>
        <v>0</v>
      </c>
    </row>
    <row r="27" spans="2:8">
      <c r="B27" s="486"/>
      <c r="C27" s="487"/>
      <c r="D27" s="492"/>
      <c r="E27" s="487"/>
      <c r="F27" s="286">
        <f t="shared" si="2"/>
        <v>1</v>
      </c>
      <c r="G27" s="495"/>
      <c r="H27" s="243">
        <f t="shared" si="3"/>
        <v>0</v>
      </c>
    </row>
    <row r="28" spans="2:8">
      <c r="B28" s="486"/>
      <c r="C28" s="487"/>
      <c r="D28" s="492"/>
      <c r="E28" s="487"/>
      <c r="F28" s="286">
        <f t="shared" si="2"/>
        <v>1</v>
      </c>
      <c r="G28" s="495"/>
      <c r="H28" s="243">
        <f t="shared" si="3"/>
        <v>0</v>
      </c>
    </row>
    <row r="29" spans="2:8">
      <c r="B29" s="486"/>
      <c r="C29" s="487"/>
      <c r="D29" s="492"/>
      <c r="E29" s="487"/>
      <c r="F29" s="286">
        <f t="shared" si="2"/>
        <v>1</v>
      </c>
      <c r="G29" s="495"/>
      <c r="H29" s="243">
        <f t="shared" si="3"/>
        <v>0</v>
      </c>
    </row>
    <row r="30" spans="2:8">
      <c r="B30" s="488"/>
      <c r="C30" s="489"/>
      <c r="D30" s="493"/>
      <c r="E30" s="489"/>
      <c r="F30" s="286">
        <f t="shared" si="2"/>
        <v>1</v>
      </c>
      <c r="G30" s="496"/>
      <c r="H30" s="243">
        <f t="shared" si="3"/>
        <v>0</v>
      </c>
    </row>
    <row r="31" spans="2:8">
      <c r="B31" s="244"/>
      <c r="C31" s="245"/>
      <c r="D31" s="247"/>
      <c r="E31" s="248"/>
      <c r="F31" s="248"/>
      <c r="G31" s="248"/>
      <c r="H31" s="243"/>
    </row>
    <row r="32" spans="2:8">
      <c r="B32" s="253" t="s">
        <v>117</v>
      </c>
      <c r="C32" s="254"/>
      <c r="D32" s="251">
        <f>SUM(D21:D30)</f>
        <v>0</v>
      </c>
      <c r="E32" s="255"/>
      <c r="F32" s="255"/>
      <c r="G32" s="251">
        <f>SUM(G21:G30)</f>
        <v>0</v>
      </c>
      <c r="H32" s="251">
        <f>SUM(H21:H30)</f>
        <v>0</v>
      </c>
    </row>
    <row r="33" spans="2:8">
      <c r="B33" s="246"/>
      <c r="C33" s="256"/>
      <c r="D33" s="257"/>
      <c r="E33" s="257"/>
      <c r="F33" s="257"/>
      <c r="G33" s="258"/>
      <c r="H33" s="238"/>
    </row>
    <row r="34" spans="2:8" ht="30">
      <c r="B34" s="483" t="s">
        <v>278</v>
      </c>
      <c r="C34" s="498">
        <f>H5</f>
        <v>44561</v>
      </c>
      <c r="D34" s="497"/>
      <c r="E34" s="497"/>
      <c r="F34" s="497">
        <f>SUMIF(F21:F30,1,G21:G30)+SUMIF(F9:F15,1,G9:G15)</f>
        <v>0</v>
      </c>
      <c r="G34" s="497"/>
      <c r="H34" s="386">
        <f>D17+D32-F34</f>
        <v>0</v>
      </c>
    </row>
    <row r="35" spans="2:8">
      <c r="B35" s="260" t="s">
        <v>119</v>
      </c>
      <c r="C35" s="256"/>
      <c r="D35" s="257"/>
      <c r="E35" s="257"/>
      <c r="F35" s="257"/>
      <c r="G35" s="258"/>
      <c r="H35" s="482"/>
    </row>
    <row r="36" spans="2:8">
      <c r="B36" s="253" t="s">
        <v>120</v>
      </c>
      <c r="C36" s="261"/>
      <c r="D36" s="255"/>
      <c r="E36" s="255"/>
      <c r="F36" s="255"/>
      <c r="G36" s="255"/>
      <c r="H36" s="255">
        <f>H34-H35</f>
        <v>0</v>
      </c>
    </row>
    <row r="37" spans="2:8"/>
  </sheetData>
  <sheetProtection algorithmName="SHA-512" hashValue="TRbucNImxoE31bwDxF78ELST1YFQsDyDJfWvSSpKv9IQrfY6juxZzSzEdCvQEzcutIKe6NiNFiF9hclyHHg88Q==" saltValue="IaNkLmmsR1O3YkNjUhIHMA==" spinCount="100000" sheet="1" objects="1" scenarios="1"/>
  <mergeCells count="6">
    <mergeCell ref="B1:H1"/>
    <mergeCell ref="C5:G5"/>
    <mergeCell ref="E7:G7"/>
    <mergeCell ref="E19:G19"/>
    <mergeCell ref="B2:H2"/>
    <mergeCell ref="B3:G3"/>
  </mergeCells>
  <hyperlinks>
    <hyperlink ref="J1" location="Inhaltsverzeichnis!A1" display="zum Inhaltsverezichnis" xr:uid="{A7593E23-463F-4C61-BAF1-B081D950A4EE}"/>
  </hyperlinks>
  <pageMargins left="0.7" right="0.7" top="0.78740157499999996" bottom="0.78740157499999996" header="0.3" footer="0.3"/>
  <pageSetup paperSize="9" scale="91" orientation="landscape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DD29-E39C-4804-85BF-7F90E3118C37}">
  <sheetPr>
    <pageSetUpPr fitToPage="1"/>
  </sheetPr>
  <dimension ref="A1:L37"/>
  <sheetViews>
    <sheetView showGridLines="0" zoomScaleNormal="100" workbookViewId="0">
      <pane ySplit="8" topLeftCell="A9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20.5703125" customWidth="1"/>
    <col min="3" max="3" width="19.28515625" customWidth="1"/>
    <col min="4" max="4" width="17.85546875" customWidth="1"/>
    <col min="5" max="5" width="15.42578125" customWidth="1"/>
    <col min="6" max="6" width="15.7109375" customWidth="1"/>
    <col min="7" max="7" width="13.42578125" customWidth="1"/>
    <col min="8" max="8" width="16.42578125" customWidth="1"/>
    <col min="9" max="9" width="19.140625" customWidth="1"/>
    <col min="10" max="10" width="31.85546875" customWidth="1"/>
    <col min="11" max="11" width="1.7109375" customWidth="1"/>
    <col min="12" max="12" width="21.140625" customWidth="1"/>
    <col min="13" max="16384" width="11.42578125" hidden="1"/>
  </cols>
  <sheetData>
    <row r="1" spans="2:12" ht="35.1" customHeight="1">
      <c r="B1" s="1079" t="s">
        <v>381</v>
      </c>
      <c r="C1" s="1183"/>
      <c r="D1" s="1183"/>
      <c r="E1" s="1183"/>
      <c r="F1" s="1183"/>
      <c r="G1" s="1183"/>
      <c r="H1" s="1183"/>
      <c r="I1" s="1183"/>
      <c r="J1" s="1183"/>
      <c r="L1" s="464" t="s">
        <v>269</v>
      </c>
    </row>
    <row r="2" spans="2:12" s="611" customFormat="1">
      <c r="B2" s="1166" t="s">
        <v>327</v>
      </c>
      <c r="C2" s="1166"/>
      <c r="D2" s="1166"/>
      <c r="E2" s="1166"/>
      <c r="F2" s="1166"/>
      <c r="G2" s="1166"/>
      <c r="H2" s="1166"/>
      <c r="I2" s="1166"/>
      <c r="J2" s="1166"/>
      <c r="L2" s="464"/>
    </row>
    <row r="3" spans="2:12" s="743" customFormat="1">
      <c r="B3" s="1166" t="s">
        <v>415</v>
      </c>
      <c r="C3" s="1166"/>
      <c r="D3" s="1166"/>
      <c r="E3" s="1166"/>
      <c r="F3" s="1166"/>
      <c r="G3" s="1166"/>
      <c r="H3" s="1166"/>
      <c r="I3" s="1166"/>
      <c r="J3" s="742"/>
      <c r="L3" s="464"/>
    </row>
    <row r="4" spans="2:12" s="214" customFormat="1" ht="15" customHeight="1">
      <c r="B4" s="458"/>
      <c r="J4" s="602" t="s">
        <v>314</v>
      </c>
    </row>
    <row r="5" spans="2:12">
      <c r="B5" s="18" t="s">
        <v>75</v>
      </c>
      <c r="C5" s="543" t="str">
        <f>Mandantendaten!C3</f>
        <v>Max Mustermann</v>
      </c>
      <c r="D5" s="545"/>
      <c r="E5" s="545"/>
      <c r="F5" s="545"/>
      <c r="G5" s="545"/>
      <c r="H5" s="545"/>
      <c r="I5" s="602"/>
      <c r="J5" s="64">
        <f>Mandantendaten!C5</f>
        <v>44561</v>
      </c>
    </row>
    <row r="6" spans="2:12">
      <c r="B6" s="60"/>
      <c r="C6" s="60"/>
      <c r="D6" s="60"/>
      <c r="E6" s="63"/>
      <c r="F6" s="63"/>
      <c r="G6" s="63"/>
      <c r="H6" s="63"/>
      <c r="I6" s="63"/>
      <c r="J6" s="60"/>
    </row>
    <row r="7" spans="2:12">
      <c r="B7" s="69" t="s">
        <v>121</v>
      </c>
      <c r="C7" s="1173" t="s">
        <v>114</v>
      </c>
      <c r="D7" s="1173"/>
      <c r="E7" s="1173" t="s">
        <v>548</v>
      </c>
      <c r="F7" s="1173"/>
      <c r="G7" s="69" t="s">
        <v>120</v>
      </c>
      <c r="H7" s="69" t="s">
        <v>128</v>
      </c>
      <c r="I7" s="69" t="s">
        <v>120</v>
      </c>
      <c r="J7" s="69" t="s">
        <v>124</v>
      </c>
    </row>
    <row r="8" spans="2:12">
      <c r="B8" s="101"/>
      <c r="C8" s="101" t="s">
        <v>543</v>
      </c>
      <c r="D8" s="101" t="s">
        <v>542</v>
      </c>
      <c r="E8" s="101" t="s">
        <v>541</v>
      </c>
      <c r="F8" s="101" t="s">
        <v>542</v>
      </c>
      <c r="G8" s="66"/>
      <c r="H8" s="101" t="s">
        <v>549</v>
      </c>
      <c r="I8" s="67"/>
      <c r="J8" s="22"/>
    </row>
    <row r="9" spans="2:12">
      <c r="B9" s="125" t="s">
        <v>129</v>
      </c>
      <c r="C9" s="472" t="s">
        <v>126</v>
      </c>
      <c r="D9" s="72">
        <v>1210</v>
      </c>
      <c r="E9" s="138">
        <v>10000</v>
      </c>
      <c r="F9" s="139">
        <v>10000</v>
      </c>
      <c r="G9" s="605">
        <f t="shared" ref="G9:G34" si="0">F9-E9</f>
        <v>0</v>
      </c>
      <c r="H9" s="151">
        <v>10000</v>
      </c>
      <c r="I9" s="605">
        <f>H9-F9</f>
        <v>0</v>
      </c>
      <c r="J9" s="152" t="s">
        <v>130</v>
      </c>
    </row>
    <row r="10" spans="2:12">
      <c r="B10" s="127"/>
      <c r="C10" s="473"/>
      <c r="D10" s="75"/>
      <c r="E10" s="142"/>
      <c r="F10" s="143"/>
      <c r="G10" s="606">
        <f t="shared" si="0"/>
        <v>0</v>
      </c>
      <c r="H10" s="154"/>
      <c r="I10" s="605">
        <f t="shared" ref="I10:I34" si="1">H10-F10</f>
        <v>0</v>
      </c>
      <c r="J10" s="155"/>
    </row>
    <row r="11" spans="2:12">
      <c r="B11" s="127"/>
      <c r="C11" s="473"/>
      <c r="D11" s="75"/>
      <c r="E11" s="142"/>
      <c r="F11" s="143"/>
      <c r="G11" s="606">
        <f t="shared" si="0"/>
        <v>0</v>
      </c>
      <c r="H11" s="154"/>
      <c r="I11" s="605">
        <f t="shared" si="1"/>
        <v>0</v>
      </c>
      <c r="J11" s="155"/>
    </row>
    <row r="12" spans="2:12">
      <c r="B12" s="127"/>
      <c r="C12" s="473"/>
      <c r="D12" s="75"/>
      <c r="E12" s="142"/>
      <c r="F12" s="143"/>
      <c r="G12" s="606">
        <f t="shared" si="0"/>
        <v>0</v>
      </c>
      <c r="H12" s="154"/>
      <c r="I12" s="605">
        <f t="shared" si="1"/>
        <v>0</v>
      </c>
      <c r="J12" s="155"/>
    </row>
    <row r="13" spans="2:12">
      <c r="B13" s="127"/>
      <c r="C13" s="473"/>
      <c r="D13" s="75"/>
      <c r="E13" s="142"/>
      <c r="F13" s="143"/>
      <c r="G13" s="606">
        <f t="shared" si="0"/>
        <v>0</v>
      </c>
      <c r="H13" s="154"/>
      <c r="I13" s="605">
        <f t="shared" si="1"/>
        <v>0</v>
      </c>
      <c r="J13" s="155"/>
    </row>
    <row r="14" spans="2:12">
      <c r="B14" s="127"/>
      <c r="C14" s="473"/>
      <c r="D14" s="75"/>
      <c r="E14" s="142"/>
      <c r="F14" s="143"/>
      <c r="G14" s="606">
        <f t="shared" si="0"/>
        <v>0</v>
      </c>
      <c r="H14" s="154"/>
      <c r="I14" s="605">
        <f t="shared" si="1"/>
        <v>0</v>
      </c>
      <c r="J14" s="155"/>
    </row>
    <row r="15" spans="2:12">
      <c r="B15" s="127"/>
      <c r="C15" s="473"/>
      <c r="D15" s="75"/>
      <c r="E15" s="142"/>
      <c r="F15" s="143"/>
      <c r="G15" s="606">
        <f t="shared" si="0"/>
        <v>0</v>
      </c>
      <c r="H15" s="154"/>
      <c r="I15" s="605">
        <f t="shared" si="1"/>
        <v>0</v>
      </c>
      <c r="J15" s="155"/>
    </row>
    <row r="16" spans="2:12">
      <c r="B16" s="127"/>
      <c r="C16" s="473"/>
      <c r="D16" s="75"/>
      <c r="E16" s="142"/>
      <c r="F16" s="143"/>
      <c r="G16" s="606">
        <f t="shared" si="0"/>
        <v>0</v>
      </c>
      <c r="H16" s="154"/>
      <c r="I16" s="605">
        <f t="shared" si="1"/>
        <v>0</v>
      </c>
      <c r="J16" s="155"/>
    </row>
    <row r="17" spans="2:10">
      <c r="B17" s="127"/>
      <c r="C17" s="473"/>
      <c r="D17" s="75"/>
      <c r="E17" s="142"/>
      <c r="F17" s="143"/>
      <c r="G17" s="606">
        <f t="shared" si="0"/>
        <v>0</v>
      </c>
      <c r="H17" s="154"/>
      <c r="I17" s="605">
        <f t="shared" si="1"/>
        <v>0</v>
      </c>
      <c r="J17" s="155"/>
    </row>
    <row r="18" spans="2:10">
      <c r="B18" s="127"/>
      <c r="C18" s="473"/>
      <c r="D18" s="75"/>
      <c r="E18" s="142"/>
      <c r="F18" s="143"/>
      <c r="G18" s="606">
        <f t="shared" si="0"/>
        <v>0</v>
      </c>
      <c r="H18" s="154"/>
      <c r="I18" s="605">
        <f t="shared" si="1"/>
        <v>0</v>
      </c>
      <c r="J18" s="155"/>
    </row>
    <row r="19" spans="2:10">
      <c r="B19" s="127"/>
      <c r="C19" s="473"/>
      <c r="D19" s="75"/>
      <c r="E19" s="142"/>
      <c r="F19" s="143"/>
      <c r="G19" s="606">
        <f t="shared" si="0"/>
        <v>0</v>
      </c>
      <c r="H19" s="154"/>
      <c r="I19" s="605">
        <f t="shared" si="1"/>
        <v>0</v>
      </c>
      <c r="J19" s="155"/>
    </row>
    <row r="20" spans="2:10">
      <c r="B20" s="127"/>
      <c r="C20" s="473"/>
      <c r="D20" s="75"/>
      <c r="E20" s="142"/>
      <c r="F20" s="143"/>
      <c r="G20" s="606">
        <f t="shared" si="0"/>
        <v>0</v>
      </c>
      <c r="H20" s="154"/>
      <c r="I20" s="605">
        <f t="shared" si="1"/>
        <v>0</v>
      </c>
      <c r="J20" s="155"/>
    </row>
    <row r="21" spans="2:10">
      <c r="B21" s="127"/>
      <c r="C21" s="473"/>
      <c r="D21" s="75"/>
      <c r="E21" s="142"/>
      <c r="F21" s="143"/>
      <c r="G21" s="606">
        <f t="shared" si="0"/>
        <v>0</v>
      </c>
      <c r="H21" s="154"/>
      <c r="I21" s="605">
        <f t="shared" si="1"/>
        <v>0</v>
      </c>
      <c r="J21" s="155"/>
    </row>
    <row r="22" spans="2:10">
      <c r="B22" s="127"/>
      <c r="C22" s="473"/>
      <c r="D22" s="75"/>
      <c r="E22" s="142"/>
      <c r="F22" s="143"/>
      <c r="G22" s="606">
        <f t="shared" si="0"/>
        <v>0</v>
      </c>
      <c r="H22" s="154"/>
      <c r="I22" s="605">
        <f t="shared" si="1"/>
        <v>0</v>
      </c>
      <c r="J22" s="155"/>
    </row>
    <row r="23" spans="2:10">
      <c r="B23" s="127"/>
      <c r="C23" s="473"/>
      <c r="D23" s="75"/>
      <c r="E23" s="142"/>
      <c r="F23" s="143"/>
      <c r="G23" s="606">
        <f t="shared" si="0"/>
        <v>0</v>
      </c>
      <c r="H23" s="154"/>
      <c r="I23" s="605">
        <f t="shared" si="1"/>
        <v>0</v>
      </c>
      <c r="J23" s="155"/>
    </row>
    <row r="24" spans="2:10">
      <c r="B24" s="127"/>
      <c r="C24" s="473"/>
      <c r="D24" s="75"/>
      <c r="E24" s="142"/>
      <c r="F24" s="143"/>
      <c r="G24" s="606">
        <f t="shared" si="0"/>
        <v>0</v>
      </c>
      <c r="H24" s="154"/>
      <c r="I24" s="605">
        <f t="shared" si="1"/>
        <v>0</v>
      </c>
      <c r="J24" s="155"/>
    </row>
    <row r="25" spans="2:10">
      <c r="B25" s="127"/>
      <c r="C25" s="473"/>
      <c r="D25" s="75"/>
      <c r="E25" s="142"/>
      <c r="F25" s="143"/>
      <c r="G25" s="606">
        <f t="shared" si="0"/>
        <v>0</v>
      </c>
      <c r="H25" s="154"/>
      <c r="I25" s="605">
        <f t="shared" si="1"/>
        <v>0</v>
      </c>
      <c r="J25" s="155"/>
    </row>
    <row r="26" spans="2:10">
      <c r="B26" s="127"/>
      <c r="C26" s="473"/>
      <c r="D26" s="75"/>
      <c r="E26" s="142"/>
      <c r="F26" s="143"/>
      <c r="G26" s="606">
        <f t="shared" si="0"/>
        <v>0</v>
      </c>
      <c r="H26" s="154"/>
      <c r="I26" s="605">
        <f t="shared" si="1"/>
        <v>0</v>
      </c>
      <c r="J26" s="155"/>
    </row>
    <row r="27" spans="2:10">
      <c r="B27" s="127"/>
      <c r="C27" s="473"/>
      <c r="D27" s="75"/>
      <c r="E27" s="142"/>
      <c r="F27" s="143"/>
      <c r="G27" s="606">
        <f t="shared" si="0"/>
        <v>0</v>
      </c>
      <c r="H27" s="154"/>
      <c r="I27" s="605">
        <f t="shared" si="1"/>
        <v>0</v>
      </c>
      <c r="J27" s="155"/>
    </row>
    <row r="28" spans="2:10">
      <c r="B28" s="127"/>
      <c r="C28" s="473"/>
      <c r="D28" s="75"/>
      <c r="E28" s="142"/>
      <c r="F28" s="143"/>
      <c r="G28" s="606">
        <f t="shared" si="0"/>
        <v>0</v>
      </c>
      <c r="H28" s="154"/>
      <c r="I28" s="605">
        <f t="shared" si="1"/>
        <v>0</v>
      </c>
      <c r="J28" s="155"/>
    </row>
    <row r="29" spans="2:10">
      <c r="B29" s="127"/>
      <c r="C29" s="473"/>
      <c r="D29" s="75"/>
      <c r="E29" s="142"/>
      <c r="F29" s="143"/>
      <c r="G29" s="606">
        <f t="shared" si="0"/>
        <v>0</v>
      </c>
      <c r="H29" s="154"/>
      <c r="I29" s="605">
        <f t="shared" si="1"/>
        <v>0</v>
      </c>
      <c r="J29" s="155"/>
    </row>
    <row r="30" spans="2:10">
      <c r="B30" s="127"/>
      <c r="C30" s="473"/>
      <c r="D30" s="75"/>
      <c r="E30" s="142"/>
      <c r="F30" s="143"/>
      <c r="G30" s="606">
        <f t="shared" si="0"/>
        <v>0</v>
      </c>
      <c r="H30" s="154"/>
      <c r="I30" s="605">
        <f t="shared" si="1"/>
        <v>0</v>
      </c>
      <c r="J30" s="155"/>
    </row>
    <row r="31" spans="2:10">
      <c r="B31" s="127"/>
      <c r="C31" s="473"/>
      <c r="D31" s="75"/>
      <c r="E31" s="142"/>
      <c r="F31" s="143"/>
      <c r="G31" s="606">
        <f t="shared" si="0"/>
        <v>0</v>
      </c>
      <c r="H31" s="154"/>
      <c r="I31" s="605">
        <f t="shared" si="1"/>
        <v>0</v>
      </c>
      <c r="J31" s="155"/>
    </row>
    <row r="32" spans="2:10">
      <c r="B32" s="127"/>
      <c r="C32" s="473"/>
      <c r="D32" s="75"/>
      <c r="E32" s="142"/>
      <c r="F32" s="143"/>
      <c r="G32" s="606">
        <f t="shared" si="0"/>
        <v>0</v>
      </c>
      <c r="H32" s="154"/>
      <c r="I32" s="605">
        <f t="shared" si="1"/>
        <v>0</v>
      </c>
      <c r="J32" s="155"/>
    </row>
    <row r="33" spans="2:10">
      <c r="B33" s="127"/>
      <c r="C33" s="473"/>
      <c r="D33" s="75"/>
      <c r="E33" s="142"/>
      <c r="F33" s="143"/>
      <c r="G33" s="606">
        <f t="shared" si="0"/>
        <v>0</v>
      </c>
      <c r="H33" s="154"/>
      <c r="I33" s="605">
        <f t="shared" si="1"/>
        <v>0</v>
      </c>
      <c r="J33" s="155"/>
    </row>
    <row r="34" spans="2:10">
      <c r="B34" s="129"/>
      <c r="C34" s="474"/>
      <c r="D34" s="131"/>
      <c r="E34" s="145"/>
      <c r="F34" s="146"/>
      <c r="G34" s="607">
        <f t="shared" si="0"/>
        <v>0</v>
      </c>
      <c r="H34" s="157"/>
      <c r="I34" s="605">
        <f t="shared" si="1"/>
        <v>0</v>
      </c>
      <c r="J34" s="158"/>
    </row>
    <row r="35" spans="2:10">
      <c r="B35" s="17"/>
      <c r="C35" s="17"/>
      <c r="D35" s="17"/>
      <c r="E35" s="10"/>
      <c r="F35" s="81"/>
      <c r="G35" s="148"/>
      <c r="H35" s="82"/>
      <c r="I35" s="148"/>
      <c r="J35" s="10"/>
    </row>
    <row r="36" spans="2:10">
      <c r="B36" s="83" t="s">
        <v>91</v>
      </c>
      <c r="C36" s="83"/>
      <c r="D36" s="83"/>
      <c r="E36" s="85">
        <f>SUM(E9:E35)</f>
        <v>10000</v>
      </c>
      <c r="F36" s="85">
        <f>SUM(F9:F35)</f>
        <v>10000</v>
      </c>
      <c r="G36" s="85">
        <f>SUM(G9:G35)</f>
        <v>0</v>
      </c>
      <c r="H36" s="85">
        <f>SUM(H9:H35)</f>
        <v>10000</v>
      </c>
      <c r="I36" s="85">
        <f>SUM(I9:I35)</f>
        <v>0</v>
      </c>
      <c r="J36" s="22"/>
    </row>
    <row r="37" spans="2:10"/>
  </sheetData>
  <sheetProtection algorithmName="SHA-512" hashValue="cHeQwnMjmzA0SDNGIRvVzDw0OZqzd9gRGuqzNr+DcQKdvd2W56WR8g1AlU1242rMtp3HyeR7581quB0GduMRVA==" saltValue="mzd4c7cT9ZXcX2AZd/8pMQ==" spinCount="100000" sheet="1" objects="1" scenarios="1"/>
  <mergeCells count="5">
    <mergeCell ref="B1:J1"/>
    <mergeCell ref="C7:D7"/>
    <mergeCell ref="E7:F7"/>
    <mergeCell ref="B2:J2"/>
    <mergeCell ref="B3:I3"/>
  </mergeCells>
  <hyperlinks>
    <hyperlink ref="L1" location="Inhaltsverzeichnis!A1" display="zum Inhaltsverzeichnis" xr:uid="{E5EFB020-F1CF-436D-A6C4-7E3E97C0AFBA}"/>
  </hyperlinks>
  <pageMargins left="0.7" right="0.7" top="0.78740157499999996" bottom="0.78740157499999996" header="0.3" footer="0.3"/>
  <pageSetup paperSize="9" scale="75" orientation="landscape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7F5A-48AB-43BE-A713-C30B520BC7E4}">
  <sheetPr>
    <pageSetUpPr fitToPage="1"/>
  </sheetPr>
  <dimension ref="A1:R71"/>
  <sheetViews>
    <sheetView showGridLines="0" workbookViewId="0"/>
  </sheetViews>
  <sheetFormatPr baseColWidth="10" defaultColWidth="0" defaultRowHeight="15" zeroHeight="1"/>
  <cols>
    <col min="1" max="1" width="1.7109375" customWidth="1"/>
    <col min="2" max="2" width="12.85546875" customWidth="1"/>
    <col min="3" max="6" width="11.42578125" customWidth="1"/>
    <col min="7" max="7" width="5.7109375" customWidth="1"/>
    <col min="8" max="8" width="12.85546875" customWidth="1"/>
    <col min="9" max="12" width="11.42578125" customWidth="1"/>
    <col min="13" max="13" width="5.7109375" customWidth="1"/>
    <col min="14" max="14" width="12.85546875" bestFit="1" customWidth="1"/>
    <col min="15" max="17" width="11.42578125" customWidth="1"/>
    <col min="18" max="18" width="1.7109375" customWidth="1"/>
    <col min="19" max="16384" width="11.42578125" hidden="1"/>
  </cols>
  <sheetData>
    <row r="1" spans="2:17" ht="35.1" customHeight="1">
      <c r="B1" s="1079" t="s">
        <v>367</v>
      </c>
      <c r="C1" s="1080"/>
      <c r="D1" s="1080"/>
      <c r="E1" s="1092"/>
      <c r="F1" s="1092"/>
      <c r="G1" s="1092"/>
      <c r="H1" s="1092"/>
      <c r="I1" s="1092"/>
      <c r="J1" s="1092"/>
      <c r="K1" s="1092"/>
      <c r="L1" s="1092"/>
      <c r="M1" s="1092"/>
      <c r="N1" s="1092"/>
      <c r="O1" s="1092"/>
      <c r="P1" s="1092"/>
      <c r="Q1" s="1092"/>
    </row>
    <row r="2" spans="2:17" ht="16.5">
      <c r="B2" s="7"/>
      <c r="C2" s="8"/>
      <c r="D2" s="9"/>
    </row>
    <row r="3" spans="2:17" ht="19.5" thickBot="1">
      <c r="B3" s="539" t="s">
        <v>19</v>
      </c>
      <c r="C3" s="540"/>
      <c r="D3" s="541"/>
      <c r="E3" s="541"/>
      <c r="H3" s="539" t="s">
        <v>36</v>
      </c>
      <c r="I3" s="540"/>
      <c r="J3" s="541"/>
      <c r="K3" s="541"/>
      <c r="N3" s="539" t="s">
        <v>308</v>
      </c>
      <c r="O3" s="540"/>
      <c r="P3" s="541"/>
      <c r="Q3" s="541"/>
    </row>
    <row r="4" spans="2:17" ht="9.9499999999999993" customHeight="1">
      <c r="B4" s="11"/>
      <c r="C4" s="12"/>
      <c r="H4" s="10"/>
      <c r="I4" s="12"/>
      <c r="N4" s="10"/>
      <c r="O4" s="12"/>
    </row>
    <row r="5" spans="2:17">
      <c r="B5" s="218" t="s">
        <v>295</v>
      </c>
      <c r="C5" s="535" t="s">
        <v>296</v>
      </c>
      <c r="H5" s="218" t="s">
        <v>295</v>
      </c>
      <c r="I5" s="535" t="s">
        <v>296</v>
      </c>
      <c r="N5" s="218" t="s">
        <v>295</v>
      </c>
      <c r="O5" s="535" t="s">
        <v>297</v>
      </c>
    </row>
    <row r="6" spans="2:17" ht="9.9499999999999993" customHeight="1">
      <c r="B6" s="14"/>
      <c r="C6" s="12"/>
      <c r="H6" s="13"/>
      <c r="I6" s="10"/>
      <c r="N6" s="13"/>
      <c r="O6" s="10"/>
    </row>
    <row r="7" spans="2:17" ht="15.75">
      <c r="B7" s="536" t="s">
        <v>294</v>
      </c>
      <c r="C7" s="537"/>
      <c r="D7" s="538"/>
      <c r="E7" s="538"/>
      <c r="H7" s="536" t="s">
        <v>37</v>
      </c>
      <c r="I7" s="537"/>
      <c r="J7" s="538"/>
      <c r="K7" s="538"/>
      <c r="L7" s="609"/>
      <c r="N7" s="536" t="s">
        <v>67</v>
      </c>
      <c r="O7" s="537"/>
      <c r="P7" s="538"/>
      <c r="Q7" s="538"/>
    </row>
    <row r="8" spans="2:17">
      <c r="B8" s="13" t="s">
        <v>21</v>
      </c>
      <c r="C8" s="1094" t="s">
        <v>20</v>
      </c>
      <c r="D8" s="1095"/>
      <c r="E8" s="1095"/>
      <c r="H8" s="610" t="s">
        <v>38</v>
      </c>
      <c r="I8" s="1091" t="s">
        <v>39</v>
      </c>
      <c r="J8" s="1093"/>
      <c r="K8" s="1093"/>
      <c r="L8" s="1092"/>
      <c r="N8" s="13" t="s">
        <v>68</v>
      </c>
      <c r="O8" s="1096" t="s">
        <v>69</v>
      </c>
      <c r="P8" s="1095"/>
      <c r="Q8" s="1095"/>
    </row>
    <row r="9" spans="2:17">
      <c r="B9" s="13" t="s">
        <v>22</v>
      </c>
      <c r="C9" s="1091" t="s">
        <v>23</v>
      </c>
      <c r="D9" s="1092"/>
      <c r="E9" s="1092"/>
      <c r="H9" s="610" t="s">
        <v>40</v>
      </c>
      <c r="I9" s="1091" t="s">
        <v>41</v>
      </c>
      <c r="J9" s="1093"/>
      <c r="K9" s="1093"/>
      <c r="L9" s="1092"/>
      <c r="N9" s="13" t="s">
        <v>70</v>
      </c>
      <c r="O9" s="1097" t="s">
        <v>71</v>
      </c>
      <c r="P9" s="1097"/>
      <c r="Q9" s="1097"/>
    </row>
    <row r="10" spans="2:17">
      <c r="B10" s="13" t="s">
        <v>24</v>
      </c>
      <c r="C10" s="1091" t="s">
        <v>25</v>
      </c>
      <c r="D10" s="1092"/>
      <c r="E10" s="1092"/>
      <c r="H10" s="610" t="s">
        <v>42</v>
      </c>
      <c r="I10" s="1091" t="s">
        <v>43</v>
      </c>
      <c r="J10" s="1093"/>
      <c r="K10" s="1093"/>
      <c r="L10" s="1092"/>
    </row>
    <row r="11" spans="2:17" ht="15.75">
      <c r="B11" s="13" t="s">
        <v>26</v>
      </c>
      <c r="C11" s="1091" t="s">
        <v>27</v>
      </c>
      <c r="D11" s="1092"/>
      <c r="E11" s="1092"/>
      <c r="H11" s="610" t="s">
        <v>44</v>
      </c>
      <c r="I11" s="1091" t="s">
        <v>45</v>
      </c>
      <c r="J11" s="1093"/>
      <c r="K11" s="1093"/>
      <c r="L11" s="1092"/>
      <c r="N11" s="536" t="s">
        <v>72</v>
      </c>
      <c r="O11" s="537"/>
      <c r="P11" s="538"/>
      <c r="Q11" s="538"/>
    </row>
    <row r="12" spans="2:17">
      <c r="B12" s="13" t="s">
        <v>28</v>
      </c>
      <c r="C12" s="1091" t="s">
        <v>29</v>
      </c>
      <c r="D12" s="1092"/>
      <c r="E12" s="1092"/>
      <c r="F12" s="1092"/>
      <c r="H12" s="609"/>
      <c r="I12" s="609"/>
      <c r="J12" s="609"/>
      <c r="K12" s="609"/>
      <c r="L12" s="609"/>
      <c r="N12" s="13" t="s">
        <v>73</v>
      </c>
      <c r="O12" s="1096" t="s">
        <v>74</v>
      </c>
      <c r="P12" s="1096"/>
      <c r="Q12" s="1096"/>
    </row>
    <row r="13" spans="2:17" ht="15.75">
      <c r="B13" s="15"/>
      <c r="C13" s="10"/>
      <c r="H13" s="536" t="s">
        <v>46</v>
      </c>
      <c r="I13" s="537"/>
      <c r="J13" s="538"/>
      <c r="K13" s="538"/>
      <c r="L13" s="609"/>
      <c r="N13" s="15"/>
      <c r="O13" s="10"/>
    </row>
    <row r="14" spans="2:17" ht="15.75">
      <c r="B14" s="536" t="s">
        <v>364</v>
      </c>
      <c r="C14" s="537"/>
      <c r="D14" s="538"/>
      <c r="E14" s="538"/>
      <c r="H14" s="610" t="s">
        <v>47</v>
      </c>
      <c r="I14" s="1091" t="s">
        <v>46</v>
      </c>
      <c r="J14" s="1093"/>
      <c r="K14" s="1093"/>
      <c r="L14" s="1092"/>
      <c r="N14" s="536" t="s">
        <v>301</v>
      </c>
      <c r="O14" s="537"/>
      <c r="P14" s="538"/>
      <c r="Q14" s="538"/>
    </row>
    <row r="15" spans="2:17">
      <c r="B15" s="13" t="s">
        <v>30</v>
      </c>
      <c r="C15" s="1091" t="s">
        <v>326</v>
      </c>
      <c r="D15" s="1093"/>
      <c r="E15" s="1093"/>
      <c r="F15" s="1093"/>
      <c r="H15" s="610" t="s">
        <v>48</v>
      </c>
      <c r="I15" s="1091" t="s">
        <v>49</v>
      </c>
      <c r="J15" s="1093"/>
      <c r="K15" s="1093"/>
      <c r="L15" s="1092"/>
      <c r="O15" s="1096" t="s">
        <v>301</v>
      </c>
      <c r="P15" s="1096"/>
      <c r="Q15" s="1096"/>
    </row>
    <row r="16" spans="2:17">
      <c r="H16" s="609"/>
      <c r="I16" s="609"/>
      <c r="J16" s="609"/>
      <c r="K16" s="609"/>
      <c r="L16" s="609"/>
    </row>
    <row r="17" spans="2:17" ht="15.75">
      <c r="B17" s="536" t="s">
        <v>304</v>
      </c>
      <c r="C17" s="537"/>
      <c r="D17" s="538"/>
      <c r="E17" s="538"/>
      <c r="H17" s="536" t="s">
        <v>50</v>
      </c>
      <c r="I17" s="537"/>
      <c r="J17" s="538"/>
      <c r="K17" s="538"/>
      <c r="L17" s="609"/>
    </row>
    <row r="18" spans="2:17" ht="19.5" thickBot="1">
      <c r="B18" s="612" t="s">
        <v>32</v>
      </c>
      <c r="C18" s="1091" t="s">
        <v>33</v>
      </c>
      <c r="D18" s="1093"/>
      <c r="E18" s="1093"/>
      <c r="F18" s="1093"/>
      <c r="H18" s="610" t="s">
        <v>51</v>
      </c>
      <c r="I18" s="1091" t="s">
        <v>50</v>
      </c>
      <c r="J18" s="1093"/>
      <c r="K18" s="1093"/>
      <c r="L18" s="1092"/>
      <c r="N18" s="539" t="s">
        <v>311</v>
      </c>
      <c r="O18" s="540"/>
      <c r="P18" s="541"/>
      <c r="Q18" s="541"/>
    </row>
    <row r="19" spans="2:17">
      <c r="B19" s="612" t="s">
        <v>34</v>
      </c>
      <c r="C19" s="1091" t="s">
        <v>307</v>
      </c>
      <c r="D19" s="1093"/>
      <c r="E19" s="1093"/>
      <c r="F19" s="1093"/>
      <c r="H19" s="610" t="s">
        <v>52</v>
      </c>
      <c r="I19" s="1091" t="s">
        <v>298</v>
      </c>
      <c r="J19" s="1093"/>
      <c r="K19" s="1093"/>
      <c r="L19" s="1092"/>
      <c r="O19" s="1104" t="s">
        <v>311</v>
      </c>
      <c r="P19" s="1104"/>
    </row>
    <row r="20" spans="2:17">
      <c r="B20" s="13" t="s">
        <v>35</v>
      </c>
      <c r="C20" s="1091" t="s">
        <v>306</v>
      </c>
      <c r="D20" s="1093"/>
      <c r="E20" s="1093"/>
      <c r="H20" s="610" t="s">
        <v>53</v>
      </c>
      <c r="I20" s="1091" t="s">
        <v>299</v>
      </c>
      <c r="J20" s="1093"/>
      <c r="K20" s="1093"/>
      <c r="L20" s="1092"/>
    </row>
    <row r="21" spans="2:17" ht="19.5" thickBot="1">
      <c r="H21" s="610" t="s">
        <v>54</v>
      </c>
      <c r="I21" s="1091" t="s">
        <v>300</v>
      </c>
      <c r="J21" s="1093"/>
      <c r="K21" s="1093"/>
      <c r="L21" s="1092"/>
      <c r="N21" s="539" t="s">
        <v>453</v>
      </c>
      <c r="O21" s="540"/>
      <c r="P21" s="541"/>
      <c r="Q21" s="541"/>
    </row>
    <row r="22" spans="2:17" s="611" customFormat="1" ht="16.5" thickBot="1">
      <c r="B22" s="536" t="s">
        <v>425</v>
      </c>
      <c r="C22" s="537"/>
      <c r="D22" s="538"/>
      <c r="E22" s="538"/>
      <c r="H22" s="13" t="s">
        <v>328</v>
      </c>
      <c r="I22" s="1091" t="s">
        <v>31</v>
      </c>
      <c r="J22" s="1093"/>
      <c r="K22" s="1093"/>
      <c r="L22" s="1092"/>
      <c r="N22" s="842" t="s">
        <v>507</v>
      </c>
      <c r="O22" s="1099" t="s">
        <v>454</v>
      </c>
      <c r="P22" s="1100"/>
      <c r="Q22" s="1101"/>
    </row>
    <row r="23" spans="2:17">
      <c r="B23" s="843" t="s">
        <v>426</v>
      </c>
      <c r="C23" s="1102" t="s">
        <v>429</v>
      </c>
      <c r="D23" s="1103"/>
      <c r="E23" s="1103"/>
      <c r="H23" s="15"/>
      <c r="I23" s="10"/>
      <c r="J23" s="609"/>
      <c r="K23" s="609"/>
      <c r="L23" s="609"/>
      <c r="N23" s="824" t="s">
        <v>508</v>
      </c>
      <c r="O23" s="1099" t="s">
        <v>455</v>
      </c>
      <c r="P23" s="1100"/>
      <c r="Q23" s="1101"/>
    </row>
    <row r="24" spans="2:17" ht="15.75">
      <c r="B24" s="844" t="s">
        <v>427</v>
      </c>
      <c r="C24" s="1098" t="s">
        <v>487</v>
      </c>
      <c r="D24" s="1092"/>
      <c r="E24" s="1092"/>
      <c r="F24" s="1092"/>
      <c r="H24" s="536" t="s">
        <v>55</v>
      </c>
      <c r="I24" s="537"/>
      <c r="J24" s="538"/>
      <c r="K24" s="538"/>
      <c r="L24" s="609"/>
    </row>
    <row r="25" spans="2:17">
      <c r="B25" s="844" t="s">
        <v>489</v>
      </c>
      <c r="C25" s="1091" t="s">
        <v>488</v>
      </c>
      <c r="D25" s="1092"/>
      <c r="E25" s="1092"/>
      <c r="F25" s="1092"/>
      <c r="H25" s="610" t="s">
        <v>56</v>
      </c>
      <c r="I25" s="1091" t="s">
        <v>57</v>
      </c>
      <c r="J25" s="1092"/>
      <c r="K25" s="1092"/>
      <c r="L25" s="608"/>
    </row>
    <row r="26" spans="2:17">
      <c r="B26" s="13"/>
      <c r="C26" s="10"/>
      <c r="H26" s="610" t="s">
        <v>58</v>
      </c>
      <c r="I26" s="1091" t="s">
        <v>59</v>
      </c>
      <c r="J26" s="1092"/>
      <c r="K26" s="1092"/>
      <c r="L26" s="608"/>
    </row>
    <row r="27" spans="2:17">
      <c r="H27" s="610" t="s">
        <v>60</v>
      </c>
      <c r="I27" s="1091" t="s">
        <v>61</v>
      </c>
      <c r="J27" s="1092"/>
      <c r="K27" s="1092"/>
      <c r="L27" s="608"/>
    </row>
    <row r="28" spans="2:17">
      <c r="H28" s="610" t="s">
        <v>62</v>
      </c>
      <c r="I28" s="1091" t="s">
        <v>63</v>
      </c>
      <c r="J28" s="1092"/>
      <c r="K28" s="1092"/>
      <c r="L28" s="608"/>
    </row>
    <row r="29" spans="2:17">
      <c r="H29" s="15"/>
      <c r="I29" s="10"/>
      <c r="J29" s="609"/>
      <c r="K29" s="609"/>
      <c r="L29" s="609"/>
    </row>
    <row r="30" spans="2:17" ht="15.75">
      <c r="H30" s="536" t="s">
        <v>303</v>
      </c>
      <c r="I30" s="537"/>
      <c r="J30" s="538"/>
      <c r="K30" s="538"/>
    </row>
    <row r="31" spans="2:17">
      <c r="H31" s="13" t="s">
        <v>64</v>
      </c>
      <c r="I31" s="1091" t="s">
        <v>65</v>
      </c>
      <c r="J31" s="1092"/>
      <c r="K31" s="1092"/>
      <c r="L31" s="1092"/>
    </row>
    <row r="32" spans="2:17">
      <c r="H32" s="13" t="s">
        <v>66</v>
      </c>
      <c r="I32" s="1091" t="s">
        <v>302</v>
      </c>
      <c r="J32" s="1093"/>
      <c r="K32" s="1093"/>
      <c r="L32" s="1093"/>
    </row>
    <row r="33" spans="8:9"/>
    <row r="40" spans="8:9" hidden="1">
      <c r="H40" s="15"/>
      <c r="I40" s="10"/>
    </row>
    <row r="41" spans="8:9" hidden="1">
      <c r="H41" s="15"/>
      <c r="I41" s="10"/>
    </row>
    <row r="42" spans="8:9" hidden="1">
      <c r="H42" s="15"/>
      <c r="I42" s="10"/>
    </row>
    <row r="69" spans="2:3" hidden="1">
      <c r="B69" s="13"/>
      <c r="C69" s="10"/>
    </row>
    <row r="70" spans="2:3" hidden="1">
      <c r="B70" s="13"/>
      <c r="C70" s="10"/>
    </row>
    <row r="71" spans="2:3" hidden="1">
      <c r="B71" s="13"/>
      <c r="C71" s="10"/>
    </row>
  </sheetData>
  <sheetProtection algorithmName="SHA-512" hashValue="0L53MXGg1TeTF5hNW5euXlsMxvR/+YEykLroU0hSP0sWYXmCwzM8q0D62Eoo6lNZwybVMUUydJnHSIzRFNkAfQ==" saltValue="u4pN+r7vPGj0RQ28owYPkw==" spinCount="100000" sheet="1" objects="1" scenarios="1"/>
  <mergeCells count="37">
    <mergeCell ref="O12:Q12"/>
    <mergeCell ref="O15:Q15"/>
    <mergeCell ref="O22:Q22"/>
    <mergeCell ref="O23:Q23"/>
    <mergeCell ref="C18:F18"/>
    <mergeCell ref="C19:F19"/>
    <mergeCell ref="I19:L19"/>
    <mergeCell ref="I18:L18"/>
    <mergeCell ref="C20:E20"/>
    <mergeCell ref="C23:E23"/>
    <mergeCell ref="O19:P19"/>
    <mergeCell ref="C12:F12"/>
    <mergeCell ref="C15:F15"/>
    <mergeCell ref="I32:L32"/>
    <mergeCell ref="I31:L31"/>
    <mergeCell ref="I22:L22"/>
    <mergeCell ref="I21:L21"/>
    <mergeCell ref="I20:L20"/>
    <mergeCell ref="C24:F24"/>
    <mergeCell ref="C25:F25"/>
    <mergeCell ref="I28:K28"/>
    <mergeCell ref="I27:K27"/>
    <mergeCell ref="I26:K26"/>
    <mergeCell ref="I25:K25"/>
    <mergeCell ref="B1:Q1"/>
    <mergeCell ref="C8:E8"/>
    <mergeCell ref="C9:E9"/>
    <mergeCell ref="O8:Q8"/>
    <mergeCell ref="O9:Q9"/>
    <mergeCell ref="I9:L9"/>
    <mergeCell ref="I8:L8"/>
    <mergeCell ref="C10:E10"/>
    <mergeCell ref="C11:E11"/>
    <mergeCell ref="I10:L10"/>
    <mergeCell ref="I15:L15"/>
    <mergeCell ref="I14:L14"/>
    <mergeCell ref="I11:L11"/>
  </mergeCells>
  <hyperlinks>
    <hyperlink ref="C8" location="'Ford. 1'!A1" display="Forderungen aus LuL" xr:uid="{EC99773A-2DD4-4C77-9E8D-4316DA90E46E}"/>
    <hyperlink ref="C9" location="'Ford. 2'!A1" display="Fremdwährungsforderungen" xr:uid="{C201FB49-9551-44C6-B797-F3A63444279F}"/>
    <hyperlink ref="C10" location="'Ford. 3'!A1" display="EWB auf Forderungen" xr:uid="{1709C6CA-7727-4C4A-922B-48A845BF5CE1}"/>
    <hyperlink ref="C11" location="'Ford. 4'!A1" display="PWB auf Forderungen" xr:uid="{26C0976F-95BE-40E1-83C6-A886737E039F}"/>
    <hyperlink ref="C12" location="'Ford. 5'!A1" display="Sonstige Forderungen" xr:uid="{11AB2439-4A51-4EC1-844D-909B28E32F5A}"/>
    <hyperlink ref="C15" location="'Bank 1'!A1" display="Flüssige Mittel / Verbindlichkeiten Kreditinstitute" xr:uid="{C1121A71-C38F-4364-A929-376C1FB95999}"/>
    <hyperlink ref="I22" location="'Bank 2'!A1" display="Aufstellung der Kontokorrentkredite" xr:uid="{6ACA7C2F-B0B8-4CA1-9BE4-12E9B4314888}"/>
    <hyperlink ref="C18" location="'ARAP 1'!A1" display="Entwicklung Aktive RAP's" xr:uid="{62E3DA1E-31EC-4635-8E9F-48E112678094}"/>
    <hyperlink ref="C19" location="'ARAP 2'!A1" display="Berechnung ARAP's" xr:uid="{081C5184-FDD4-4E82-A879-091FEE7D9DB5}"/>
    <hyperlink ref="C20" location="'ARAP 3'!A1" display="Verteilung Disagio/Leasing - SZ" xr:uid="{9D96AF04-25E5-4951-8FBE-30EEA70ED92B}"/>
    <hyperlink ref="I8" location="'Rückst. 1'!A1" display="Pensionsrückstellungen" xr:uid="{1DEFC15C-62C3-43AA-B89D-C754C9FB3F68}"/>
    <hyperlink ref="I9" location="'Rückst. 2'!A1" display="Entwicklung Steuerrückstellungen" xr:uid="{ECEB7CE9-1F12-4C1B-B728-9C9375A3A436}"/>
    <hyperlink ref="I10" location="'Rückst. 3'!A1" display="Entwicklung sonstige Rückstellungen" xr:uid="{129BCBF1-5358-45BF-8B02-5C9B9056AA2A}"/>
    <hyperlink ref="I11" location="'Rückst. 4'!A1" display="Resturlaubsverpflichtungen" xr:uid="{9E003828-46C5-4DD4-A0D3-D2960F342627}"/>
    <hyperlink ref="I14" location="'Verb. 1'!A1" display="Verbindlichkeiten aus LuL" xr:uid="{96D88A29-DF74-4B39-A149-C03DE1B132BF}"/>
    <hyperlink ref="I15" location="'Verb. 2'!A1" display="Fremdwährungsverbindlichkeiten" xr:uid="{D2E2684D-BA25-487F-A1B8-8081F46B66BF}"/>
    <hyperlink ref="I18" location="'Sonst. Verb. 1'!A1" display="Sonstige Verbindlichkeiten" xr:uid="{4399184F-5391-4F75-849D-EC04F652381E}"/>
    <hyperlink ref="I19" location="'Sonst. Verb. 2'!A1" display="Verbindlichkeiten aus Lohn und Gehalt" xr:uid="{FC80A08E-0EE4-4DB7-9404-D0EBA91FACFA}"/>
    <hyperlink ref="I20" location="'Sonst. Verb. 3'!A1" display="Verbindlichkeiten aus Lohn- und Kirchensteuer" xr:uid="{6AEDC27F-72BE-4BCA-A8BD-9A91127912B3}"/>
    <hyperlink ref="I21" location="'Sonst. Verb. 4'!A1" display="Verbindlichkeiten aus sozialer Sicherung" xr:uid="{872147FB-E10E-444F-B7D9-04AF7A9DE990}"/>
    <hyperlink ref="I25" location="'USt 1'!A1" display="Umsatzsteuerverprobung" xr:uid="{F92C40D1-1AF1-4EEF-8400-B328872236CD}"/>
    <hyperlink ref="I26" location="'USt 2'!A1" display="Umsatzsteuerberechnung" xr:uid="{52822F76-BE29-403A-B4CD-E09BE11E281B}"/>
    <hyperlink ref="I27" location="'USt 3'!A1" display="Umsatzsteuerabstimmung" xr:uid="{04E6DA93-0446-4C8D-AF36-5DD2802B765F}"/>
    <hyperlink ref="I28" location="'USt 4'!A1" display="Vorsteuerverprobung" xr:uid="{F656FA08-A9B0-423E-98C3-CCB14602431B}"/>
    <hyperlink ref="I31" location="'PRAP 1'!A1" display="Entwicklung Passive RAP's" xr:uid="{724D68EB-42DE-4D52-A922-76B7F7249A10}"/>
    <hyperlink ref="I32" location="'PRAP 2'!A1" display="Berechnung PRAP's" xr:uid="{343958D0-1A62-40F8-A12A-6E2CA8AD8002}"/>
    <hyperlink ref="O8" location="'Lohn 1'!A1" display="Lohnverprobung" xr:uid="{3A93DDEF-C389-4977-9B4A-AE2F8411E4DD}"/>
    <hyperlink ref="O9:Q9" location="'Lohn 2'!A1" display="Ermittlung Arbeitnehmerzahl" xr:uid="{B14C1925-BEC0-4BB6-B4DD-EE1D68B2FE31}"/>
    <hyperlink ref="O12:Q12" location="Verträge!A1" display="Leasing- und Mietverträge" xr:uid="{67962871-68C1-4455-990C-E7A8E1448F0D}"/>
    <hyperlink ref="O15:Q15" location="Kontoaufstellung!A1" display="Kontenaufstellung" xr:uid="{FB9A2B4B-957E-4D5D-904D-67E40A04A1A5}"/>
    <hyperlink ref="I32:L32" location="'PRAP 2'!A1" display="Berechnung Passive RAP's" xr:uid="{7C4BCC10-6FFE-4FC4-82DB-BE911E0B7FDA}"/>
    <hyperlink ref="C20:E20" location="'ARAP 3'!A1" display="Verteilung Disagio/Leasing" xr:uid="{754F263A-14B7-43E5-A212-208F1478312A}"/>
    <hyperlink ref="C19:E19" location="'ARAP 2'!A1" display="Berechnung Aktive RAP's" xr:uid="{FA17848D-02AA-4F1C-B94E-11B7FEDC03A5}"/>
    <hyperlink ref="O19:P19" location="Mandantendaten!A1" display="Mandantendaten" xr:uid="{DE823F45-DBF5-474D-89C5-701E81ED962B}"/>
    <hyperlink ref="C15:F15" location="'Bank 1'!A1" display="Flüssige Mittel " xr:uid="{9702402A-A4F0-474E-B526-CBF995A770D4}"/>
    <hyperlink ref="I22:K22" location="'Sonst. Verb. 5'!Druckbereich" display="Aufstellung der Kontokorrentkredite" xr:uid="{74AF6492-0690-4F4A-8813-D8759713A469}"/>
    <hyperlink ref="C23" location="'AV 1'!Druckbereich" display="nicht abnutzbares Anlagevermögen" xr:uid="{7231BBB7-B875-4248-94A0-3896B150D37D}"/>
    <hyperlink ref="C24" location="'AV 2'!Druckbereich" display="abnutzbares Anlagevermögen" xr:uid="{E677BEA0-970C-436C-80D5-C529DC7E584C}"/>
    <hyperlink ref="O22:P22" location="Sapo!Druckbereich" display="Sammelposten" xr:uid="{64C14165-683D-4831-9964-5680BC8E7663}"/>
    <hyperlink ref="O23" location="IAB!Druckbereich" display="Investitionsabzugsbeträge" xr:uid="{43E81407-70F8-4A3A-AFC2-1E1145DDAA24}"/>
    <hyperlink ref="C25" location="'AV 3'!Druckbereich" display="abnutzbares, bewegl. Anlagevermögen" xr:uid="{73234AEE-4F24-4034-AA67-DE6552C5E9AF}"/>
  </hyperlinks>
  <pageMargins left="0.25" right="0.25" top="0.75" bottom="0.75" header="0.3" footer="0.3"/>
  <pageSetup paperSize="9" scale="81" orientation="landscape" horizontalDpi="360" verticalDpi="36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C4A7-8F60-405E-A1D0-75975C8C8F72}">
  <sheetPr>
    <pageSetUpPr fitToPage="1"/>
  </sheetPr>
  <dimension ref="A1:M35"/>
  <sheetViews>
    <sheetView showGridLines="0" zoomScaleNormal="100" workbookViewId="0">
      <pane ySplit="6" topLeftCell="A7" activePane="bottomLeft" state="frozen"/>
      <selection pane="bottomLeft" activeCell="B8" sqref="B8"/>
    </sheetView>
  </sheetViews>
  <sheetFormatPr baseColWidth="10" defaultColWidth="0" defaultRowHeight="15" zeroHeight="1"/>
  <cols>
    <col min="1" max="1" width="1.7109375" customWidth="1"/>
    <col min="2" max="2" width="39.7109375" customWidth="1"/>
    <col min="3" max="3" width="16.42578125" customWidth="1"/>
    <col min="4" max="4" width="17.7109375" customWidth="1"/>
    <col min="5" max="5" width="16.28515625" customWidth="1"/>
    <col min="6" max="6" width="15.28515625" customWidth="1"/>
    <col min="7" max="7" width="19.42578125" customWidth="1"/>
    <col min="8" max="8" width="15.85546875" customWidth="1"/>
    <col min="9" max="9" width="16" customWidth="1"/>
    <col min="10" max="10" width="17" customWidth="1"/>
    <col min="11" max="11" width="14.7109375" customWidth="1"/>
    <col min="12" max="12" width="1.7109375" customWidth="1"/>
    <col min="13" max="13" width="21.42578125" bestFit="1" customWidth="1"/>
    <col min="14" max="16384" width="11.42578125" hidden="1"/>
  </cols>
  <sheetData>
    <row r="1" spans="2:13" ht="35.1" customHeight="1">
      <c r="B1" s="1079" t="s">
        <v>382</v>
      </c>
      <c r="C1" s="1092"/>
      <c r="D1" s="1092"/>
      <c r="E1" s="1092"/>
      <c r="F1" s="1092"/>
      <c r="G1" s="1092"/>
      <c r="H1" s="1092"/>
      <c r="I1" s="1092"/>
      <c r="J1" s="1092"/>
      <c r="K1" s="1092"/>
      <c r="M1" s="464" t="s">
        <v>269</v>
      </c>
    </row>
    <row r="2" spans="2:13">
      <c r="K2" s="603" t="s">
        <v>315</v>
      </c>
    </row>
    <row r="3" spans="2:13">
      <c r="B3" s="237" t="s">
        <v>75</v>
      </c>
      <c r="C3" s="1342" t="str">
        <f>Mandantendaten!C3</f>
        <v>Max Mustermann</v>
      </c>
      <c r="D3" s="1343"/>
      <c r="E3" s="1343"/>
      <c r="F3" s="1343"/>
      <c r="G3" s="1343"/>
      <c r="H3" s="1343"/>
      <c r="I3" s="1343"/>
      <c r="J3" s="1345">
        <f>Mandantendaten!C5</f>
        <v>44561</v>
      </c>
      <c r="K3" s="1346"/>
    </row>
    <row r="4" spans="2:13">
      <c r="B4" s="292"/>
      <c r="C4" s="293"/>
      <c r="D4" s="293"/>
      <c r="E4" s="293"/>
      <c r="F4" s="293"/>
      <c r="G4" s="293"/>
      <c r="H4" s="293"/>
      <c r="I4" s="293"/>
      <c r="J4" s="293"/>
      <c r="K4" s="293"/>
    </row>
    <row r="5" spans="2:13" ht="30">
      <c r="B5" s="499" t="s">
        <v>281</v>
      </c>
      <c r="C5" s="305" t="s">
        <v>181</v>
      </c>
      <c r="D5" s="305" t="s">
        <v>181</v>
      </c>
      <c r="E5" s="305" t="s">
        <v>181</v>
      </c>
      <c r="F5" s="305" t="s">
        <v>182</v>
      </c>
      <c r="G5" s="305" t="s">
        <v>191</v>
      </c>
      <c r="H5" s="305" t="s">
        <v>192</v>
      </c>
      <c r="I5" s="305" t="s">
        <v>184</v>
      </c>
      <c r="J5" s="305" t="s">
        <v>184</v>
      </c>
      <c r="K5" s="305" t="s">
        <v>181</v>
      </c>
    </row>
    <row r="6" spans="2:13">
      <c r="B6" s="499" t="s">
        <v>185</v>
      </c>
      <c r="C6" s="306">
        <f>Mandantendaten!C8</f>
        <v>0.19</v>
      </c>
      <c r="D6" s="306">
        <f>Mandantendaten!C9</f>
        <v>0.19</v>
      </c>
      <c r="E6" s="306">
        <f>Mandantendaten!C10</f>
        <v>7.0000000000000007E-2</v>
      </c>
      <c r="F6" s="306">
        <f>Mandantendaten!C11</f>
        <v>7.0000000000000007E-2</v>
      </c>
      <c r="G6" s="306">
        <f>Mandantendaten!C8</f>
        <v>0.19</v>
      </c>
      <c r="H6" s="306">
        <f>Mandantendaten!C10</f>
        <v>7.0000000000000007E-2</v>
      </c>
      <c r="I6" s="305" t="s">
        <v>186</v>
      </c>
      <c r="J6" s="305" t="s">
        <v>187</v>
      </c>
      <c r="K6" s="305" t="s">
        <v>188</v>
      </c>
    </row>
    <row r="7" spans="2:13">
      <c r="B7" s="299"/>
      <c r="C7" s="300"/>
      <c r="D7" s="300"/>
      <c r="E7" s="300"/>
      <c r="F7" s="300"/>
      <c r="G7" s="300"/>
      <c r="H7" s="300"/>
      <c r="I7" s="301"/>
      <c r="J7" s="301"/>
      <c r="K7" s="302"/>
    </row>
    <row r="8" spans="2:13">
      <c r="B8" s="484"/>
      <c r="C8" s="500">
        <v>100</v>
      </c>
      <c r="D8" s="500">
        <v>100</v>
      </c>
      <c r="E8" s="500">
        <v>100</v>
      </c>
      <c r="F8" s="500">
        <v>100</v>
      </c>
      <c r="G8" s="500">
        <v>100</v>
      </c>
      <c r="H8" s="500">
        <v>100</v>
      </c>
      <c r="I8" s="500"/>
      <c r="J8" s="501"/>
      <c r="K8" s="293">
        <f>SUM(C8:J8)</f>
        <v>600</v>
      </c>
    </row>
    <row r="9" spans="2:13">
      <c r="B9" s="486"/>
      <c r="C9" s="502"/>
      <c r="D9" s="502"/>
      <c r="E9" s="502"/>
      <c r="F9" s="502"/>
      <c r="G9" s="502"/>
      <c r="H9" s="502"/>
      <c r="I9" s="502"/>
      <c r="J9" s="503"/>
      <c r="K9" s="293">
        <f t="shared" ref="K9:K28" si="0">SUM(C9:J9)</f>
        <v>0</v>
      </c>
    </row>
    <row r="10" spans="2:13">
      <c r="B10" s="486"/>
      <c r="C10" s="502"/>
      <c r="D10" s="502"/>
      <c r="E10" s="502"/>
      <c r="F10" s="502"/>
      <c r="G10" s="502"/>
      <c r="H10" s="502"/>
      <c r="I10" s="502"/>
      <c r="J10" s="503"/>
      <c r="K10" s="293">
        <f t="shared" si="0"/>
        <v>0</v>
      </c>
    </row>
    <row r="11" spans="2:13">
      <c r="B11" s="486"/>
      <c r="C11" s="502"/>
      <c r="D11" s="502"/>
      <c r="E11" s="502"/>
      <c r="F11" s="502"/>
      <c r="G11" s="502"/>
      <c r="H11" s="502"/>
      <c r="I11" s="502"/>
      <c r="J11" s="503"/>
      <c r="K11" s="293">
        <f t="shared" si="0"/>
        <v>0</v>
      </c>
    </row>
    <row r="12" spans="2:13">
      <c r="B12" s="486"/>
      <c r="C12" s="502"/>
      <c r="D12" s="502"/>
      <c r="E12" s="502"/>
      <c r="F12" s="502"/>
      <c r="G12" s="502"/>
      <c r="H12" s="502"/>
      <c r="I12" s="502"/>
      <c r="J12" s="503"/>
      <c r="K12" s="293">
        <f t="shared" si="0"/>
        <v>0</v>
      </c>
    </row>
    <row r="13" spans="2:13">
      <c r="B13" s="486"/>
      <c r="C13" s="502"/>
      <c r="D13" s="502"/>
      <c r="E13" s="502"/>
      <c r="F13" s="502"/>
      <c r="G13" s="502"/>
      <c r="H13" s="502"/>
      <c r="I13" s="502"/>
      <c r="J13" s="503"/>
      <c r="K13" s="293">
        <f t="shared" si="0"/>
        <v>0</v>
      </c>
    </row>
    <row r="14" spans="2:13">
      <c r="B14" s="486"/>
      <c r="C14" s="502"/>
      <c r="D14" s="502"/>
      <c r="E14" s="502"/>
      <c r="F14" s="502"/>
      <c r="G14" s="502"/>
      <c r="H14" s="502"/>
      <c r="I14" s="502"/>
      <c r="J14" s="503"/>
      <c r="K14" s="293">
        <f t="shared" si="0"/>
        <v>0</v>
      </c>
    </row>
    <row r="15" spans="2:13">
      <c r="B15" s="486"/>
      <c r="C15" s="502"/>
      <c r="D15" s="502"/>
      <c r="E15" s="502"/>
      <c r="F15" s="502"/>
      <c r="G15" s="502"/>
      <c r="H15" s="502"/>
      <c r="I15" s="502"/>
      <c r="J15" s="503"/>
      <c r="K15" s="293">
        <f t="shared" si="0"/>
        <v>0</v>
      </c>
    </row>
    <row r="16" spans="2:13">
      <c r="B16" s="486"/>
      <c r="C16" s="502"/>
      <c r="D16" s="502"/>
      <c r="E16" s="502"/>
      <c r="F16" s="502"/>
      <c r="G16" s="502"/>
      <c r="H16" s="502"/>
      <c r="I16" s="502"/>
      <c r="J16" s="503"/>
      <c r="K16" s="293">
        <f t="shared" si="0"/>
        <v>0</v>
      </c>
    </row>
    <row r="17" spans="2:11">
      <c r="B17" s="486"/>
      <c r="C17" s="502"/>
      <c r="D17" s="502"/>
      <c r="E17" s="502"/>
      <c r="F17" s="502"/>
      <c r="G17" s="502"/>
      <c r="H17" s="502"/>
      <c r="I17" s="502"/>
      <c r="J17" s="503"/>
      <c r="K17" s="293">
        <f t="shared" si="0"/>
        <v>0</v>
      </c>
    </row>
    <row r="18" spans="2:11">
      <c r="B18" s="486"/>
      <c r="C18" s="502"/>
      <c r="D18" s="502"/>
      <c r="E18" s="502"/>
      <c r="F18" s="502"/>
      <c r="G18" s="502"/>
      <c r="H18" s="502"/>
      <c r="I18" s="502"/>
      <c r="J18" s="503"/>
      <c r="K18" s="293">
        <f t="shared" si="0"/>
        <v>0</v>
      </c>
    </row>
    <row r="19" spans="2:11">
      <c r="B19" s="486"/>
      <c r="C19" s="502"/>
      <c r="D19" s="502"/>
      <c r="E19" s="502"/>
      <c r="F19" s="502"/>
      <c r="G19" s="502"/>
      <c r="H19" s="502"/>
      <c r="I19" s="502"/>
      <c r="J19" s="503"/>
      <c r="K19" s="293">
        <f t="shared" si="0"/>
        <v>0</v>
      </c>
    </row>
    <row r="20" spans="2:11">
      <c r="B20" s="486"/>
      <c r="C20" s="502"/>
      <c r="D20" s="502"/>
      <c r="E20" s="502"/>
      <c r="F20" s="502"/>
      <c r="G20" s="502"/>
      <c r="H20" s="502"/>
      <c r="I20" s="502"/>
      <c r="J20" s="503"/>
      <c r="K20" s="293">
        <f t="shared" si="0"/>
        <v>0</v>
      </c>
    </row>
    <row r="21" spans="2:11">
      <c r="B21" s="486"/>
      <c r="C21" s="502"/>
      <c r="D21" s="502"/>
      <c r="E21" s="502"/>
      <c r="F21" s="502"/>
      <c r="G21" s="502"/>
      <c r="H21" s="502"/>
      <c r="I21" s="502"/>
      <c r="J21" s="503"/>
      <c r="K21" s="293">
        <f t="shared" si="0"/>
        <v>0</v>
      </c>
    </row>
    <row r="22" spans="2:11">
      <c r="B22" s="486"/>
      <c r="C22" s="502"/>
      <c r="D22" s="502"/>
      <c r="E22" s="502"/>
      <c r="F22" s="502"/>
      <c r="G22" s="502"/>
      <c r="H22" s="502"/>
      <c r="I22" s="502"/>
      <c r="J22" s="503"/>
      <c r="K22" s="293">
        <f t="shared" si="0"/>
        <v>0</v>
      </c>
    </row>
    <row r="23" spans="2:11">
      <c r="B23" s="486"/>
      <c r="C23" s="502"/>
      <c r="D23" s="502"/>
      <c r="E23" s="502"/>
      <c r="F23" s="502"/>
      <c r="G23" s="502"/>
      <c r="H23" s="502"/>
      <c r="I23" s="502"/>
      <c r="J23" s="503"/>
      <c r="K23" s="293">
        <f t="shared" si="0"/>
        <v>0</v>
      </c>
    </row>
    <row r="24" spans="2:11">
      <c r="B24" s="486"/>
      <c r="C24" s="502"/>
      <c r="D24" s="502"/>
      <c r="E24" s="502"/>
      <c r="F24" s="502"/>
      <c r="G24" s="502"/>
      <c r="H24" s="502"/>
      <c r="I24" s="502"/>
      <c r="J24" s="503"/>
      <c r="K24" s="293">
        <f t="shared" si="0"/>
        <v>0</v>
      </c>
    </row>
    <row r="25" spans="2:11">
      <c r="B25" s="486"/>
      <c r="C25" s="502"/>
      <c r="D25" s="502"/>
      <c r="E25" s="502"/>
      <c r="F25" s="502"/>
      <c r="G25" s="502"/>
      <c r="H25" s="502"/>
      <c r="I25" s="502"/>
      <c r="J25" s="503"/>
      <c r="K25" s="293">
        <f t="shared" si="0"/>
        <v>0</v>
      </c>
    </row>
    <row r="26" spans="2:11">
      <c r="B26" s="488"/>
      <c r="C26" s="504"/>
      <c r="D26" s="504"/>
      <c r="E26" s="504"/>
      <c r="F26" s="504"/>
      <c r="G26" s="504"/>
      <c r="H26" s="504"/>
      <c r="I26" s="504"/>
      <c r="J26" s="505"/>
      <c r="K26" s="293">
        <f t="shared" si="0"/>
        <v>0</v>
      </c>
    </row>
    <row r="27" spans="2:11">
      <c r="B27" s="663" t="s">
        <v>357</v>
      </c>
      <c r="C27" s="506">
        <v>200</v>
      </c>
      <c r="D27" s="502"/>
      <c r="E27" s="502"/>
      <c r="F27" s="502"/>
      <c r="G27" s="502"/>
      <c r="H27" s="502"/>
      <c r="I27" s="502"/>
      <c r="J27" s="503"/>
      <c r="K27" s="293">
        <f t="shared" si="0"/>
        <v>200</v>
      </c>
    </row>
    <row r="28" spans="2:11">
      <c r="B28" s="663" t="s">
        <v>358</v>
      </c>
      <c r="C28" s="507">
        <v>100</v>
      </c>
      <c r="D28" s="508"/>
      <c r="E28" s="508"/>
      <c r="F28" s="508"/>
      <c r="G28" s="508"/>
      <c r="H28" s="508"/>
      <c r="I28" s="508"/>
      <c r="J28" s="509"/>
      <c r="K28" s="293">
        <f t="shared" si="0"/>
        <v>100</v>
      </c>
    </row>
    <row r="29" spans="2:11">
      <c r="B29" s="244"/>
      <c r="C29" s="294"/>
      <c r="D29" s="294"/>
      <c r="E29" s="294"/>
      <c r="F29" s="294"/>
      <c r="G29" s="294"/>
      <c r="H29" s="294"/>
      <c r="I29" s="294"/>
      <c r="J29" s="294"/>
      <c r="K29" s="293"/>
    </row>
    <row r="30" spans="2:11">
      <c r="B30" s="303" t="s">
        <v>91</v>
      </c>
      <c r="C30" s="304">
        <f t="shared" ref="C30:K30" si="1">SUM(C8:C27)-C28</f>
        <v>200</v>
      </c>
      <c r="D30" s="304">
        <f t="shared" si="1"/>
        <v>100</v>
      </c>
      <c r="E30" s="304">
        <f t="shared" si="1"/>
        <v>100</v>
      </c>
      <c r="F30" s="304">
        <f t="shared" si="1"/>
        <v>100</v>
      </c>
      <c r="G30" s="304">
        <f t="shared" si="1"/>
        <v>100</v>
      </c>
      <c r="H30" s="304">
        <f t="shared" si="1"/>
        <v>100</v>
      </c>
      <c r="I30" s="304">
        <f t="shared" si="1"/>
        <v>0</v>
      </c>
      <c r="J30" s="304">
        <f t="shared" si="1"/>
        <v>0</v>
      </c>
      <c r="K30" s="304">
        <f t="shared" si="1"/>
        <v>700</v>
      </c>
    </row>
    <row r="31" spans="2:11">
      <c r="B31" s="292" t="s">
        <v>189</v>
      </c>
      <c r="C31" s="293">
        <f>C30*C6</f>
        <v>38</v>
      </c>
      <c r="D31" s="293">
        <f t="shared" ref="D31:H31" si="2">D30*D6</f>
        <v>19</v>
      </c>
      <c r="E31" s="293">
        <f t="shared" si="2"/>
        <v>7.0000000000000009</v>
      </c>
      <c r="F31" s="293">
        <f t="shared" si="2"/>
        <v>7.0000000000000009</v>
      </c>
      <c r="G31" s="293">
        <f t="shared" si="2"/>
        <v>19</v>
      </c>
      <c r="H31" s="293">
        <f t="shared" si="2"/>
        <v>7.0000000000000009</v>
      </c>
      <c r="I31" s="293">
        <v>0</v>
      </c>
      <c r="J31" s="293">
        <v>0</v>
      </c>
      <c r="K31" s="293"/>
    </row>
    <row r="32" spans="2:11">
      <c r="B32" s="244" t="s">
        <v>190</v>
      </c>
      <c r="C32" s="312"/>
      <c r="D32" s="313"/>
      <c r="E32" s="313"/>
      <c r="F32" s="313"/>
      <c r="G32" s="313"/>
      <c r="H32" s="313"/>
      <c r="I32" s="313"/>
      <c r="J32" s="314"/>
      <c r="K32" s="293"/>
    </row>
    <row r="33" spans="2:11">
      <c r="B33" s="244"/>
      <c r="C33" s="294"/>
      <c r="D33" s="294"/>
      <c r="E33" s="294"/>
      <c r="F33" s="294"/>
      <c r="G33" s="294"/>
      <c r="H33" s="294"/>
      <c r="I33" s="294"/>
      <c r="J33" s="294"/>
      <c r="K33" s="293"/>
    </row>
    <row r="34" spans="2:11">
      <c r="B34" s="303" t="s">
        <v>120</v>
      </c>
      <c r="C34" s="304">
        <f>C31-C32</f>
        <v>38</v>
      </c>
      <c r="D34" s="304">
        <f t="shared" ref="D34:I34" si="3">D31-D32</f>
        <v>19</v>
      </c>
      <c r="E34" s="304">
        <f t="shared" si="3"/>
        <v>7.0000000000000009</v>
      </c>
      <c r="F34" s="304">
        <f t="shared" si="3"/>
        <v>7.0000000000000009</v>
      </c>
      <c r="G34" s="304">
        <f t="shared" si="3"/>
        <v>19</v>
      </c>
      <c r="H34" s="304">
        <f t="shared" si="3"/>
        <v>7.0000000000000009</v>
      </c>
      <c r="I34" s="304">
        <f t="shared" si="3"/>
        <v>0</v>
      </c>
      <c r="J34" s="304">
        <f>J31-J32</f>
        <v>0</v>
      </c>
      <c r="K34" s="293"/>
    </row>
    <row r="35" spans="2:11"/>
  </sheetData>
  <mergeCells count="3">
    <mergeCell ref="J3:K3"/>
    <mergeCell ref="B1:K1"/>
    <mergeCell ref="C3:I3"/>
  </mergeCells>
  <hyperlinks>
    <hyperlink ref="M1" location="Inhaltsverzeichnis!A1" display="zum Inhaltsverzeichnis" xr:uid="{2282FE1F-4684-448F-8B15-C1CE5CE5802F}"/>
  </hyperlinks>
  <pageMargins left="0.7" right="0.7" top="0.78740157499999996" bottom="0.78740157499999996" header="0.3" footer="0.3"/>
  <pageSetup paperSize="9" scale="69" orientation="landscape" r:id="rId1"/>
  <colBreaks count="1" manualBreakCount="1">
    <brk id="12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4BC8-9D0C-49EA-81CD-7668DF3248D4}">
  <sheetPr>
    <pageSetUpPr fitToPage="1"/>
  </sheetPr>
  <dimension ref="A1:K43"/>
  <sheetViews>
    <sheetView showGridLines="0" zoomScaleNormal="100" workbookViewId="0">
      <pane ySplit="5" topLeftCell="A6" activePane="bottomLeft" state="frozen"/>
      <selection pane="bottomLeft" activeCell="B16" sqref="B16"/>
    </sheetView>
  </sheetViews>
  <sheetFormatPr baseColWidth="10" defaultColWidth="0" defaultRowHeight="15" zeroHeight="1"/>
  <cols>
    <col min="1" max="1" width="1.7109375" customWidth="1"/>
    <col min="2" max="2" width="24.42578125" customWidth="1"/>
    <col min="3" max="3" width="22.28515625" customWidth="1"/>
    <col min="4" max="4" width="18.85546875" customWidth="1"/>
    <col min="5" max="5" width="16.7109375" customWidth="1"/>
    <col min="6" max="6" width="17.140625" customWidth="1"/>
    <col min="7" max="7" width="18.28515625" customWidth="1"/>
    <col min="8" max="8" width="1.7109375" customWidth="1"/>
    <col min="9" max="9" width="21.42578125" bestFit="1" customWidth="1"/>
    <col min="10" max="11" width="0" hidden="1" customWidth="1"/>
    <col min="12" max="16384" width="11.42578125" hidden="1"/>
  </cols>
  <sheetData>
    <row r="1" spans="2:11" ht="35.1" customHeight="1">
      <c r="B1" s="1079" t="s">
        <v>383</v>
      </c>
      <c r="C1" s="1092"/>
      <c r="D1" s="1092"/>
      <c r="E1" s="1092"/>
      <c r="F1" s="1092"/>
      <c r="G1" s="1092"/>
      <c r="H1" s="290"/>
      <c r="I1" s="480" t="s">
        <v>269</v>
      </c>
      <c r="J1" s="290"/>
      <c r="K1" s="290"/>
    </row>
    <row r="2" spans="2:11">
      <c r="G2" s="603" t="s">
        <v>315</v>
      </c>
    </row>
    <row r="3" spans="2:11">
      <c r="B3" s="237" t="s">
        <v>75</v>
      </c>
      <c r="C3" s="1342" t="str">
        <f>Mandantendaten!C3</f>
        <v>Max Mustermann</v>
      </c>
      <c r="D3" s="1347"/>
      <c r="E3" s="1347"/>
      <c r="F3" s="1347"/>
      <c r="G3" s="324">
        <f>Mandantendaten!C5</f>
        <v>44561</v>
      </c>
    </row>
    <row r="4" spans="2:11">
      <c r="B4" s="292"/>
      <c r="C4" s="293"/>
      <c r="D4" s="293"/>
      <c r="E4" s="293"/>
      <c r="F4" s="293"/>
      <c r="G4" s="293"/>
    </row>
    <row r="5" spans="2:11" ht="30">
      <c r="B5" s="510" t="s">
        <v>55</v>
      </c>
      <c r="C5" s="511" t="s">
        <v>284</v>
      </c>
      <c r="D5" s="512" t="s">
        <v>283</v>
      </c>
      <c r="E5" s="511"/>
      <c r="F5" s="511"/>
      <c r="G5" s="513" t="s">
        <v>282</v>
      </c>
    </row>
    <row r="6" spans="2:11">
      <c r="B6" s="316" t="s">
        <v>193</v>
      </c>
      <c r="C6" s="514">
        <f>'USt 1'!C6</f>
        <v>0.19</v>
      </c>
      <c r="D6" s="293">
        <f>ROUNDDOWN('USt 1'!C30,0)</f>
        <v>200</v>
      </c>
      <c r="E6" s="294"/>
      <c r="F6" s="316"/>
      <c r="G6" s="293">
        <f t="shared" ref="G6:G11" si="0">D6*C6</f>
        <v>38</v>
      </c>
    </row>
    <row r="7" spans="2:11">
      <c r="B7" s="316" t="s">
        <v>193</v>
      </c>
      <c r="C7" s="514">
        <f>'USt 1'!D6</f>
        <v>0.19</v>
      </c>
      <c r="D7" s="293">
        <f>ROUNDDOWN('USt 1'!D30,0)</f>
        <v>100</v>
      </c>
      <c r="E7" s="294"/>
      <c r="F7" s="316"/>
      <c r="G7" s="293">
        <f t="shared" si="0"/>
        <v>19</v>
      </c>
    </row>
    <row r="8" spans="2:11">
      <c r="B8" s="316" t="s">
        <v>193</v>
      </c>
      <c r="C8" s="514">
        <f>'USt 1'!E6</f>
        <v>7.0000000000000007E-2</v>
      </c>
      <c r="D8" s="293">
        <f>ROUNDDOWN('USt 1'!E30,0)</f>
        <v>100</v>
      </c>
      <c r="E8" s="294"/>
      <c r="F8" s="316"/>
      <c r="G8" s="293">
        <f t="shared" si="0"/>
        <v>7.0000000000000009</v>
      </c>
    </row>
    <row r="9" spans="2:11">
      <c r="B9" s="316" t="s">
        <v>193</v>
      </c>
      <c r="C9" s="514">
        <f>'USt 1'!F6</f>
        <v>7.0000000000000007E-2</v>
      </c>
      <c r="D9" s="293">
        <f>ROUNDDOWN('USt 1'!F30,0)</f>
        <v>100</v>
      </c>
      <c r="E9" s="294"/>
      <c r="F9" s="316"/>
      <c r="G9" s="293">
        <f t="shared" si="0"/>
        <v>7.0000000000000009</v>
      </c>
    </row>
    <row r="10" spans="2:11">
      <c r="B10" s="316" t="s">
        <v>183</v>
      </c>
      <c r="C10" s="514">
        <f>'USt 1'!G6</f>
        <v>0.19</v>
      </c>
      <c r="D10" s="293">
        <f>ROUNDDOWN('USt 1'!G30,0)</f>
        <v>100</v>
      </c>
      <c r="E10" s="294"/>
      <c r="F10" s="316"/>
      <c r="G10" s="293">
        <f t="shared" si="0"/>
        <v>19</v>
      </c>
    </row>
    <row r="11" spans="2:11">
      <c r="B11" s="316" t="s">
        <v>183</v>
      </c>
      <c r="C11" s="514">
        <f>'USt 1'!H6</f>
        <v>7.0000000000000007E-2</v>
      </c>
      <c r="D11" s="293">
        <f>ROUNDDOWN('USt 1'!H30,0)</f>
        <v>100</v>
      </c>
      <c r="E11" s="294"/>
      <c r="F11" s="316"/>
      <c r="G11" s="293">
        <f t="shared" si="0"/>
        <v>7.0000000000000009</v>
      </c>
    </row>
    <row r="12" spans="2:11">
      <c r="B12" s="317" t="s">
        <v>91</v>
      </c>
      <c r="C12" s="317"/>
      <c r="D12" s="296">
        <f>SUM(D6:D11)</f>
        <v>700</v>
      </c>
      <c r="E12" s="298"/>
      <c r="F12" s="317"/>
      <c r="G12" s="296">
        <f>SUM(G6:G11)</f>
        <v>97</v>
      </c>
    </row>
    <row r="13" spans="2:11">
      <c r="B13" s="316"/>
      <c r="C13" s="316"/>
      <c r="D13" s="316"/>
      <c r="E13" s="316"/>
      <c r="F13" s="316"/>
      <c r="G13" s="240"/>
    </row>
    <row r="14" spans="2:11">
      <c r="B14" s="515" t="s">
        <v>194</v>
      </c>
      <c r="C14" s="516" t="s">
        <v>86</v>
      </c>
      <c r="D14" s="517"/>
      <c r="E14" s="518"/>
      <c r="F14" s="519"/>
      <c r="G14" s="520" t="s">
        <v>86</v>
      </c>
    </row>
    <row r="15" spans="2:11">
      <c r="B15" s="316" t="s">
        <v>195</v>
      </c>
      <c r="C15" s="318"/>
      <c r="D15" s="316"/>
      <c r="E15" s="316"/>
      <c r="F15" s="316"/>
      <c r="G15" s="240"/>
    </row>
    <row r="16" spans="2:11">
      <c r="B16" s="267"/>
      <c r="C16" s="287"/>
      <c r="D16" s="316"/>
      <c r="E16" s="316"/>
      <c r="F16" s="316"/>
      <c r="G16" s="240"/>
    </row>
    <row r="17" spans="2:7">
      <c r="B17" s="271"/>
      <c r="C17" s="288"/>
      <c r="D17" s="316"/>
      <c r="E17" s="316"/>
      <c r="F17" s="316"/>
      <c r="G17" s="240"/>
    </row>
    <row r="18" spans="2:7">
      <c r="B18" s="271"/>
      <c r="C18" s="288"/>
      <c r="D18" s="316"/>
      <c r="E18" s="316"/>
      <c r="F18" s="316"/>
      <c r="G18" s="240"/>
    </row>
    <row r="19" spans="2:7">
      <c r="B19" s="271"/>
      <c r="C19" s="288"/>
      <c r="D19" s="316"/>
      <c r="E19" s="316"/>
      <c r="F19" s="316"/>
      <c r="G19" s="240"/>
    </row>
    <row r="20" spans="2:7">
      <c r="B20" s="271"/>
      <c r="C20" s="288"/>
      <c r="D20" s="316"/>
      <c r="E20" s="316"/>
      <c r="F20" s="316"/>
      <c r="G20" s="240"/>
    </row>
    <row r="21" spans="2:7">
      <c r="B21" s="275"/>
      <c r="C21" s="325"/>
      <c r="D21" s="294"/>
      <c r="E21" s="294"/>
      <c r="F21" s="294"/>
      <c r="G21" s="293"/>
    </row>
    <row r="22" spans="2:7">
      <c r="B22" s="297" t="s">
        <v>91</v>
      </c>
      <c r="C22" s="319">
        <f>SUM(C16:C21)</f>
        <v>0</v>
      </c>
      <c r="D22" s="298"/>
      <c r="E22" s="298"/>
      <c r="F22" s="317"/>
      <c r="G22" s="296">
        <f>SUM(C16:C21)</f>
        <v>0</v>
      </c>
    </row>
    <row r="23" spans="2:7">
      <c r="B23" s="244"/>
      <c r="C23" s="320"/>
      <c r="D23" s="294"/>
      <c r="E23" s="294"/>
      <c r="F23" s="294"/>
      <c r="G23" s="293"/>
    </row>
    <row r="24" spans="2:7" ht="30">
      <c r="B24" s="522" t="s">
        <v>285</v>
      </c>
      <c r="C24" s="511" t="s">
        <v>86</v>
      </c>
      <c r="D24" s="511" t="s">
        <v>86</v>
      </c>
      <c r="E24" s="523"/>
      <c r="F24" s="511" t="s">
        <v>86</v>
      </c>
      <c r="G24" s="513" t="s">
        <v>86</v>
      </c>
    </row>
    <row r="25" spans="2:7">
      <c r="B25" s="244" t="s">
        <v>153</v>
      </c>
      <c r="C25" s="521" t="s">
        <v>196</v>
      </c>
      <c r="D25" s="521" t="s">
        <v>197</v>
      </c>
      <c r="E25" s="521" t="s">
        <v>77</v>
      </c>
      <c r="F25" s="521" t="s">
        <v>120</v>
      </c>
      <c r="G25" s="293"/>
    </row>
    <row r="26" spans="2:7">
      <c r="B26" s="244" t="s">
        <v>359</v>
      </c>
      <c r="C26" s="310"/>
      <c r="D26" s="307"/>
      <c r="E26" s="327"/>
      <c r="F26" s="293">
        <f>C26-D26</f>
        <v>0</v>
      </c>
      <c r="G26" s="321">
        <f>IF(E26&gt;$F$1,D26+F26,F26)</f>
        <v>0</v>
      </c>
    </row>
    <row r="27" spans="2:7">
      <c r="B27" s="244" t="s">
        <v>198</v>
      </c>
      <c r="C27" s="315"/>
      <c r="D27" s="308"/>
      <c r="E27" s="328"/>
      <c r="F27" s="293">
        <f t="shared" ref="F27:F38" si="1">C27-D27</f>
        <v>0</v>
      </c>
      <c r="G27" s="321">
        <f t="shared" ref="G27:G38" si="2">IF(E27&gt;$F$1,D27+F27,F27)</f>
        <v>0</v>
      </c>
    </row>
    <row r="28" spans="2:7">
      <c r="B28" s="244" t="s">
        <v>199</v>
      </c>
      <c r="C28" s="315"/>
      <c r="D28" s="308"/>
      <c r="E28" s="328"/>
      <c r="F28" s="293">
        <f t="shared" si="1"/>
        <v>0</v>
      </c>
      <c r="G28" s="321">
        <f t="shared" si="2"/>
        <v>0</v>
      </c>
    </row>
    <row r="29" spans="2:7">
      <c r="B29" s="244" t="s">
        <v>200</v>
      </c>
      <c r="C29" s="315"/>
      <c r="D29" s="308"/>
      <c r="E29" s="328"/>
      <c r="F29" s="293">
        <f t="shared" si="1"/>
        <v>0</v>
      </c>
      <c r="G29" s="321">
        <f t="shared" si="2"/>
        <v>0</v>
      </c>
    </row>
    <row r="30" spans="2:7">
      <c r="B30" s="244" t="s">
        <v>201</v>
      </c>
      <c r="C30" s="315"/>
      <c r="D30" s="308"/>
      <c r="E30" s="328"/>
      <c r="F30" s="293">
        <f t="shared" si="1"/>
        <v>0</v>
      </c>
      <c r="G30" s="321">
        <f t="shared" si="2"/>
        <v>0</v>
      </c>
    </row>
    <row r="31" spans="2:7">
      <c r="B31" s="244" t="s">
        <v>202</v>
      </c>
      <c r="C31" s="315"/>
      <c r="D31" s="308"/>
      <c r="E31" s="328"/>
      <c r="F31" s="293">
        <f t="shared" si="1"/>
        <v>0</v>
      </c>
      <c r="G31" s="321">
        <f t="shared" si="2"/>
        <v>0</v>
      </c>
    </row>
    <row r="32" spans="2:7">
      <c r="B32" s="244" t="s">
        <v>203</v>
      </c>
      <c r="C32" s="315"/>
      <c r="D32" s="308"/>
      <c r="E32" s="328"/>
      <c r="F32" s="293">
        <f t="shared" si="1"/>
        <v>0</v>
      </c>
      <c r="G32" s="321">
        <f t="shared" si="2"/>
        <v>0</v>
      </c>
    </row>
    <row r="33" spans="2:7">
      <c r="B33" s="244" t="s">
        <v>204</v>
      </c>
      <c r="C33" s="315"/>
      <c r="D33" s="308"/>
      <c r="E33" s="328"/>
      <c r="F33" s="293">
        <f t="shared" si="1"/>
        <v>0</v>
      </c>
      <c r="G33" s="321">
        <f t="shared" si="2"/>
        <v>0</v>
      </c>
    </row>
    <row r="34" spans="2:7">
      <c r="B34" s="244" t="s">
        <v>205</v>
      </c>
      <c r="C34" s="315"/>
      <c r="D34" s="308"/>
      <c r="E34" s="328"/>
      <c r="F34" s="293">
        <f t="shared" si="1"/>
        <v>0</v>
      </c>
      <c r="G34" s="321">
        <f t="shared" si="2"/>
        <v>0</v>
      </c>
    </row>
    <row r="35" spans="2:7">
      <c r="B35" s="244" t="s">
        <v>206</v>
      </c>
      <c r="C35" s="315"/>
      <c r="D35" s="308"/>
      <c r="E35" s="328"/>
      <c r="F35" s="293">
        <f t="shared" si="1"/>
        <v>0</v>
      </c>
      <c r="G35" s="321">
        <f t="shared" si="2"/>
        <v>0</v>
      </c>
    </row>
    <row r="36" spans="2:7">
      <c r="B36" s="244" t="s">
        <v>207</v>
      </c>
      <c r="C36" s="315"/>
      <c r="D36" s="308"/>
      <c r="E36" s="328"/>
      <c r="F36" s="293">
        <f t="shared" si="1"/>
        <v>0</v>
      </c>
      <c r="G36" s="321">
        <f t="shared" si="2"/>
        <v>0</v>
      </c>
    </row>
    <row r="37" spans="2:7">
      <c r="B37" s="244" t="s">
        <v>208</v>
      </c>
      <c r="C37" s="315"/>
      <c r="D37" s="308"/>
      <c r="E37" s="328"/>
      <c r="F37" s="293">
        <f t="shared" si="1"/>
        <v>0</v>
      </c>
      <c r="G37" s="321">
        <f t="shared" si="2"/>
        <v>0</v>
      </c>
    </row>
    <row r="38" spans="2:7">
      <c r="B38" s="244" t="s">
        <v>209</v>
      </c>
      <c r="C38" s="311"/>
      <c r="D38" s="309"/>
      <c r="E38" s="329"/>
      <c r="F38" s="293">
        <f t="shared" si="1"/>
        <v>0</v>
      </c>
      <c r="G38" s="321">
        <f t="shared" si="2"/>
        <v>0</v>
      </c>
    </row>
    <row r="39" spans="2:7">
      <c r="B39" s="297" t="s">
        <v>91</v>
      </c>
      <c r="C39" s="296">
        <f>SUM(C26:C38)</f>
        <v>0</v>
      </c>
      <c r="D39" s="296">
        <f>SUM(D26:D38)</f>
        <v>0</v>
      </c>
      <c r="E39" s="298"/>
      <c r="F39" s="296">
        <f>SUM(F26:F38)</f>
        <v>0</v>
      </c>
      <c r="G39" s="296">
        <f>C39</f>
        <v>0</v>
      </c>
    </row>
    <row r="40" spans="2:7">
      <c r="B40" s="244" t="s">
        <v>210</v>
      </c>
      <c r="C40" s="326"/>
      <c r="D40" s="294"/>
      <c r="E40" s="294"/>
      <c r="F40" s="293">
        <f>C39-C40</f>
        <v>0</v>
      </c>
      <c r="G40" s="293"/>
    </row>
    <row r="41" spans="2:7">
      <c r="B41" s="244"/>
      <c r="C41" s="294"/>
      <c r="D41" s="294"/>
      <c r="E41" s="294"/>
      <c r="F41" s="294"/>
      <c r="G41" s="293"/>
    </row>
    <row r="42" spans="2:7">
      <c r="B42" s="322" t="str">
        <f>IF(G12-G22-G39&gt;0,"Umsatzsteuerzahllast gerundet","Umsatzsteuererstattung gerundet")</f>
        <v>Umsatzsteuerzahllast gerundet</v>
      </c>
      <c r="C42" s="323"/>
      <c r="D42" s="323"/>
      <c r="E42" s="323"/>
      <c r="F42" s="323"/>
      <c r="G42" s="295">
        <f>IF((G12-G22)&lt;0,ROUNDUP((G12-G22),1)-G39,ROUNDDOWN((G12-G22),1)-G39)</f>
        <v>97</v>
      </c>
    </row>
    <row r="43" spans="2:7"/>
  </sheetData>
  <sheetProtection algorithmName="SHA-512" hashValue="03O15hVkT5Bt8djGPKU4tghiCBEWxVvd5uy0gDe4GBy4TVrejOuy1l/J5mW4bU7WjhQZvAuQcmEgV2zgL6HXrA==" saltValue="NessnJrbkQTTZUnyO8/dKg==" spinCount="100000" sheet="1" objects="1" scenarios="1"/>
  <mergeCells count="2">
    <mergeCell ref="C3:F3"/>
    <mergeCell ref="B1:G1"/>
  </mergeCells>
  <hyperlinks>
    <hyperlink ref="I1" location="Inhaltsverzeichnis!A1" display="zum Inhaltsverzeichnis" xr:uid="{B46ED280-F596-4A73-B94A-7C472E9EEBC1}"/>
  </hyperlinks>
  <pageMargins left="0.7" right="0.7" top="0.78740157499999996" bottom="0.78740157499999996" header="0.3" footer="0.3"/>
  <pageSetup paperSize="9" scale="73" orientation="landscape" r:id="rId1"/>
  <colBreaks count="1" manualBreakCount="1">
    <brk id="8" max="104857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FF03-6F2E-4E29-97B9-7B3265DBFB7E}">
  <dimension ref="A1:H19"/>
  <sheetViews>
    <sheetView showGridLines="0" zoomScaleNormal="100" workbookViewId="0">
      <selection activeCell="B12" sqref="B12"/>
    </sheetView>
  </sheetViews>
  <sheetFormatPr baseColWidth="10" defaultColWidth="0" defaultRowHeight="15" zeroHeight="1"/>
  <cols>
    <col min="1" max="1" width="1.7109375" customWidth="1"/>
    <col min="2" max="2" width="22.42578125" customWidth="1"/>
    <col min="3" max="3" width="18.140625" customWidth="1"/>
    <col min="4" max="4" width="22.5703125" customWidth="1"/>
    <col min="5" max="5" width="11.42578125" customWidth="1"/>
    <col min="6" max="6" width="26.5703125" customWidth="1"/>
    <col min="7" max="7" width="1.7109375" customWidth="1"/>
    <col min="8" max="8" width="21.140625" customWidth="1"/>
    <col min="9" max="16384" width="11.42578125" hidden="1"/>
  </cols>
  <sheetData>
    <row r="1" spans="2:8" ht="35.1" customHeight="1">
      <c r="B1" s="1079" t="s">
        <v>384</v>
      </c>
      <c r="C1" s="1092"/>
      <c r="D1" s="1092"/>
      <c r="E1" s="1092"/>
      <c r="F1" s="1092"/>
      <c r="G1" s="290"/>
      <c r="H1" s="464" t="s">
        <v>269</v>
      </c>
    </row>
    <row r="2" spans="2:8" s="93" customFormat="1">
      <c r="F2" s="603" t="s">
        <v>315</v>
      </c>
    </row>
    <row r="3" spans="2:8">
      <c r="B3" s="237" t="s">
        <v>75</v>
      </c>
      <c r="C3" s="1342" t="str">
        <f>Mandantendaten!C3</f>
        <v>Max Mustermann</v>
      </c>
      <c r="D3" s="1343"/>
      <c r="E3" s="1343"/>
      <c r="F3" s="324">
        <f>Mandantendaten!C5</f>
        <v>44561</v>
      </c>
    </row>
    <row r="4" spans="2:8">
      <c r="B4" s="292"/>
      <c r="C4" s="293"/>
      <c r="D4" s="293"/>
      <c r="E4" s="293"/>
      <c r="F4" s="293"/>
    </row>
    <row r="5" spans="2:8">
      <c r="B5" s="316" t="s">
        <v>211</v>
      </c>
      <c r="C5" s="330"/>
      <c r="D5" s="294"/>
      <c r="E5" s="316"/>
      <c r="F5" s="293">
        <f>'USt 2'!G42</f>
        <v>97</v>
      </c>
    </row>
    <row r="6" spans="2:8">
      <c r="B6" s="316"/>
      <c r="C6" s="330"/>
      <c r="D6" s="294"/>
      <c r="E6" s="316"/>
      <c r="F6" s="293"/>
    </row>
    <row r="7" spans="2:8">
      <c r="B7" s="316" t="s">
        <v>286</v>
      </c>
      <c r="C7" s="294"/>
      <c r="D7" s="294"/>
      <c r="E7" s="316"/>
      <c r="F7" s="293">
        <f>SUM('USt 2'!G26:G38)</f>
        <v>0</v>
      </c>
    </row>
    <row r="8" spans="2:8">
      <c r="B8" s="316"/>
      <c r="C8" s="294"/>
      <c r="D8" s="294"/>
      <c r="E8" s="316"/>
      <c r="F8" s="293"/>
    </row>
    <row r="9" spans="2:8">
      <c r="B9" s="316" t="s">
        <v>212</v>
      </c>
      <c r="C9" s="294"/>
      <c r="D9" s="294"/>
      <c r="E9" s="316"/>
      <c r="F9" s="326"/>
    </row>
    <row r="10" spans="2:8">
      <c r="B10" s="316"/>
      <c r="C10" s="294"/>
      <c r="D10" s="294"/>
      <c r="E10" s="316"/>
      <c r="F10" s="294"/>
    </row>
    <row r="11" spans="2:8">
      <c r="B11" s="316" t="s">
        <v>213</v>
      </c>
      <c r="C11" s="294"/>
      <c r="D11" s="294"/>
      <c r="E11" s="316"/>
      <c r="F11" s="294"/>
    </row>
    <row r="12" spans="2:8">
      <c r="B12" s="331"/>
      <c r="C12" s="294"/>
      <c r="D12" s="294"/>
      <c r="E12" s="316"/>
      <c r="F12" s="326"/>
    </row>
    <row r="13" spans="2:8">
      <c r="B13" s="331"/>
      <c r="C13" s="316"/>
      <c r="D13" s="316"/>
      <c r="E13" s="316"/>
      <c r="F13" s="326"/>
    </row>
    <row r="14" spans="2:8">
      <c r="B14" s="331"/>
      <c r="C14" s="316"/>
      <c r="D14" s="316"/>
      <c r="E14" s="316"/>
      <c r="F14" s="326"/>
    </row>
    <row r="15" spans="2:8">
      <c r="B15" s="316"/>
      <c r="C15" s="316"/>
      <c r="D15" s="316"/>
      <c r="E15" s="316"/>
      <c r="F15" s="294"/>
    </row>
    <row r="16" spans="2:8">
      <c r="B16" s="316" t="s">
        <v>214</v>
      </c>
      <c r="C16" s="316"/>
      <c r="D16" s="316"/>
      <c r="E16" s="316"/>
      <c r="F16" s="326">
        <v>92</v>
      </c>
    </row>
    <row r="17" spans="2:6">
      <c r="B17" s="316"/>
      <c r="C17" s="316"/>
      <c r="D17" s="316"/>
      <c r="E17" s="316"/>
      <c r="F17" s="316"/>
    </row>
    <row r="18" spans="2:6">
      <c r="B18" s="249" t="s">
        <v>120</v>
      </c>
      <c r="C18" s="259"/>
      <c r="D18" s="251"/>
      <c r="E18" s="251"/>
      <c r="F18" s="251">
        <f>F5+F7+F9+F12+F13+F14-F16</f>
        <v>5</v>
      </c>
    </row>
    <row r="19" spans="2:6"/>
  </sheetData>
  <sheetProtection algorithmName="SHA-512" hashValue="w8H5wh92WmGUaHk29yLRjj0EYUaW8lzHdvjYVGqmj9DsVXwU7+v8GgSjQ3KAW93+YNcsueu3pBllDgYqvFYRUA==" saltValue="mL1lWlPK6y1zLEh964ZP0g==" spinCount="100000" sheet="1" objects="1" scenarios="1"/>
  <mergeCells count="2">
    <mergeCell ref="C3:E3"/>
    <mergeCell ref="B1:F1"/>
  </mergeCells>
  <hyperlinks>
    <hyperlink ref="H1" location="Inhaltsverzeichnis!A1" display="zum Inhaltsverzeichnis" xr:uid="{73F00A93-E1B6-4AA0-8710-0EE1437C51CB}"/>
  </hyperlinks>
  <pageMargins left="0.7" right="0.7" top="0.78740157499999996" bottom="0.78740157499999996" header="0.3" footer="0.3"/>
  <pageSetup paperSize="9" scale="99" orientation="landscape" r:id="rId1"/>
  <colBreaks count="1" manualBreakCount="1">
    <brk id="7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DE4D-CF9E-490D-9BE9-D8C7E75EC69B}">
  <sheetPr>
    <pageSetUpPr fitToPage="1"/>
  </sheetPr>
  <dimension ref="B1:L32"/>
  <sheetViews>
    <sheetView showGridLines="0" zoomScaleNormal="100" workbookViewId="0">
      <pane ySplit="6" topLeftCell="A7" activePane="bottomLeft" state="frozen"/>
      <selection pane="bottomLeft" activeCell="B8" sqref="B8"/>
    </sheetView>
  </sheetViews>
  <sheetFormatPr baseColWidth="10" defaultColWidth="11.42578125" defaultRowHeight="15"/>
  <cols>
    <col min="1" max="1" width="1.7109375" style="214" customWidth="1"/>
    <col min="2" max="2" width="16.28515625" style="214" bestFit="1" customWidth="1"/>
    <col min="3" max="3" width="17.85546875" style="214" customWidth="1"/>
    <col min="4" max="4" width="17.7109375" style="214" customWidth="1"/>
    <col min="5" max="5" width="17.28515625" style="214" customWidth="1"/>
    <col min="6" max="6" width="19.5703125" style="214" customWidth="1"/>
    <col min="7" max="7" width="19.42578125" style="214" customWidth="1"/>
    <col min="8" max="8" width="17.5703125" style="214" customWidth="1"/>
    <col min="9" max="9" width="19.140625" style="214" customWidth="1"/>
    <col min="10" max="10" width="13.85546875" style="214" bestFit="1" customWidth="1"/>
    <col min="11" max="11" width="1.7109375" style="214" customWidth="1"/>
    <col min="12" max="12" width="21.42578125" style="214" bestFit="1" customWidth="1"/>
    <col min="13" max="16384" width="11.42578125" style="214"/>
  </cols>
  <sheetData>
    <row r="1" spans="2:12" ht="35.1" customHeight="1">
      <c r="B1" s="1079" t="s">
        <v>385</v>
      </c>
      <c r="C1" s="1092"/>
      <c r="D1" s="1092"/>
      <c r="E1" s="1092"/>
      <c r="F1" s="1092"/>
      <c r="G1" s="1092"/>
      <c r="H1" s="1092"/>
      <c r="I1" s="1092"/>
      <c r="J1" s="1092"/>
      <c r="L1" s="464" t="s">
        <v>269</v>
      </c>
    </row>
    <row r="2" spans="2:12">
      <c r="J2" s="603" t="s">
        <v>314</v>
      </c>
    </row>
    <row r="3" spans="2:12">
      <c r="B3" s="291" t="s">
        <v>75</v>
      </c>
      <c r="C3" s="1342" t="str">
        <f>Mandantendaten!C3</f>
        <v>Max Mustermann</v>
      </c>
      <c r="D3" s="1343"/>
      <c r="E3" s="1343"/>
      <c r="F3" s="1343"/>
      <c r="G3" s="1343"/>
      <c r="H3" s="1343"/>
      <c r="I3" s="1343"/>
      <c r="J3" s="604">
        <f>Mandantendaten!C5</f>
        <v>44561</v>
      </c>
    </row>
    <row r="4" spans="2:12">
      <c r="B4" s="292"/>
      <c r="C4" s="293"/>
      <c r="D4" s="293"/>
      <c r="E4" s="293"/>
      <c r="F4" s="293"/>
      <c r="G4" s="293"/>
      <c r="H4" s="293"/>
      <c r="I4" s="293"/>
      <c r="J4" s="293"/>
    </row>
    <row r="5" spans="2:12" ht="30">
      <c r="B5" s="499" t="s">
        <v>281</v>
      </c>
      <c r="C5" s="305" t="s">
        <v>215</v>
      </c>
      <c r="D5" s="305" t="s">
        <v>215</v>
      </c>
      <c r="E5" s="305" t="s">
        <v>215</v>
      </c>
      <c r="F5" s="305" t="s">
        <v>215</v>
      </c>
      <c r="G5" s="305" t="s">
        <v>191</v>
      </c>
      <c r="H5" s="305" t="s">
        <v>192</v>
      </c>
      <c r="I5" s="305" t="s">
        <v>287</v>
      </c>
      <c r="J5" s="305" t="s">
        <v>181</v>
      </c>
    </row>
    <row r="6" spans="2:12">
      <c r="B6" s="499" t="s">
        <v>185</v>
      </c>
      <c r="C6" s="306">
        <f>Mandantendaten!C8</f>
        <v>0.19</v>
      </c>
      <c r="D6" s="306">
        <f>Mandantendaten!C9</f>
        <v>0.19</v>
      </c>
      <c r="E6" s="306">
        <f>Mandantendaten!C10</f>
        <v>7.0000000000000007E-2</v>
      </c>
      <c r="F6" s="306">
        <f>Mandantendaten!C11</f>
        <v>7.0000000000000007E-2</v>
      </c>
      <c r="G6" s="306">
        <f>Mandantendaten!C8</f>
        <v>0.19</v>
      </c>
      <c r="H6" s="306">
        <f>Mandantendaten!C10</f>
        <v>7.0000000000000007E-2</v>
      </c>
      <c r="I6" s="305"/>
      <c r="J6" s="305" t="s">
        <v>188</v>
      </c>
    </row>
    <row r="7" spans="2:12">
      <c r="B7" s="299"/>
      <c r="C7" s="300"/>
      <c r="D7" s="300"/>
      <c r="E7" s="300"/>
      <c r="F7" s="300"/>
      <c r="G7" s="300"/>
      <c r="H7" s="300"/>
      <c r="I7" s="301"/>
      <c r="J7" s="302"/>
    </row>
    <row r="8" spans="2:12">
      <c r="B8" s="484"/>
      <c r="C8" s="500">
        <v>200</v>
      </c>
      <c r="D8" s="500">
        <v>100</v>
      </c>
      <c r="E8" s="500"/>
      <c r="F8" s="500"/>
      <c r="G8" s="500"/>
      <c r="H8" s="500"/>
      <c r="I8" s="501"/>
      <c r="J8" s="293">
        <f t="shared" ref="J8:J26" si="0">SUM(C8:I8)</f>
        <v>300</v>
      </c>
    </row>
    <row r="9" spans="2:12">
      <c r="B9" s="486"/>
      <c r="C9" s="502"/>
      <c r="D9" s="502"/>
      <c r="E9" s="502"/>
      <c r="F9" s="502"/>
      <c r="G9" s="502"/>
      <c r="H9" s="502"/>
      <c r="I9" s="503"/>
      <c r="J9" s="293">
        <f t="shared" si="0"/>
        <v>0</v>
      </c>
    </row>
    <row r="10" spans="2:12">
      <c r="B10" s="486"/>
      <c r="C10" s="502"/>
      <c r="D10" s="502"/>
      <c r="E10" s="502"/>
      <c r="F10" s="502"/>
      <c r="G10" s="502"/>
      <c r="H10" s="502"/>
      <c r="I10" s="503"/>
      <c r="J10" s="293">
        <f t="shared" si="0"/>
        <v>0</v>
      </c>
    </row>
    <row r="11" spans="2:12">
      <c r="B11" s="486"/>
      <c r="C11" s="502"/>
      <c r="D11" s="502"/>
      <c r="E11" s="502"/>
      <c r="F11" s="502"/>
      <c r="G11" s="502"/>
      <c r="H11" s="502"/>
      <c r="I11" s="503"/>
      <c r="J11" s="293">
        <f t="shared" si="0"/>
        <v>0</v>
      </c>
    </row>
    <row r="12" spans="2:12">
      <c r="B12" s="486"/>
      <c r="C12" s="502"/>
      <c r="D12" s="502"/>
      <c r="E12" s="502"/>
      <c r="F12" s="502"/>
      <c r="G12" s="502"/>
      <c r="H12" s="502"/>
      <c r="I12" s="503"/>
      <c r="J12" s="293">
        <f t="shared" si="0"/>
        <v>0</v>
      </c>
    </row>
    <row r="13" spans="2:12">
      <c r="B13" s="486"/>
      <c r="C13" s="502"/>
      <c r="D13" s="502"/>
      <c r="E13" s="502"/>
      <c r="F13" s="502"/>
      <c r="G13" s="502"/>
      <c r="H13" s="502"/>
      <c r="I13" s="503"/>
      <c r="J13" s="293">
        <f t="shared" si="0"/>
        <v>0</v>
      </c>
    </row>
    <row r="14" spans="2:12">
      <c r="B14" s="486"/>
      <c r="C14" s="502"/>
      <c r="D14" s="502"/>
      <c r="E14" s="502"/>
      <c r="F14" s="502"/>
      <c r="G14" s="502"/>
      <c r="H14" s="502"/>
      <c r="I14" s="503"/>
      <c r="J14" s="293">
        <f t="shared" si="0"/>
        <v>0</v>
      </c>
    </row>
    <row r="15" spans="2:12">
      <c r="B15" s="486"/>
      <c r="C15" s="502"/>
      <c r="D15" s="502"/>
      <c r="E15" s="502"/>
      <c r="F15" s="502"/>
      <c r="G15" s="502"/>
      <c r="H15" s="502"/>
      <c r="I15" s="503"/>
      <c r="J15" s="293">
        <f t="shared" si="0"/>
        <v>0</v>
      </c>
    </row>
    <row r="16" spans="2:12">
      <c r="B16" s="486"/>
      <c r="C16" s="502"/>
      <c r="D16" s="502"/>
      <c r="E16" s="502"/>
      <c r="F16" s="502"/>
      <c r="G16" s="502"/>
      <c r="H16" s="502"/>
      <c r="I16" s="503"/>
      <c r="J16" s="293">
        <f t="shared" si="0"/>
        <v>0</v>
      </c>
    </row>
    <row r="17" spans="2:10">
      <c r="B17" s="486"/>
      <c r="C17" s="502"/>
      <c r="D17" s="502"/>
      <c r="E17" s="502"/>
      <c r="F17" s="502"/>
      <c r="G17" s="502"/>
      <c r="H17" s="502"/>
      <c r="I17" s="503"/>
      <c r="J17" s="293">
        <f t="shared" si="0"/>
        <v>0</v>
      </c>
    </row>
    <row r="18" spans="2:10">
      <c r="B18" s="486"/>
      <c r="C18" s="502"/>
      <c r="D18" s="502"/>
      <c r="E18" s="502"/>
      <c r="F18" s="502"/>
      <c r="G18" s="502"/>
      <c r="H18" s="502"/>
      <c r="I18" s="503"/>
      <c r="J18" s="293">
        <f t="shared" si="0"/>
        <v>0</v>
      </c>
    </row>
    <row r="19" spans="2:10">
      <c r="B19" s="486"/>
      <c r="C19" s="502"/>
      <c r="D19" s="502"/>
      <c r="E19" s="502"/>
      <c r="F19" s="502"/>
      <c r="G19" s="502"/>
      <c r="H19" s="502"/>
      <c r="I19" s="503"/>
      <c r="J19" s="293">
        <f t="shared" si="0"/>
        <v>0</v>
      </c>
    </row>
    <row r="20" spans="2:10">
      <c r="B20" s="486"/>
      <c r="C20" s="502"/>
      <c r="D20" s="502"/>
      <c r="E20" s="502"/>
      <c r="F20" s="502"/>
      <c r="G20" s="502"/>
      <c r="H20" s="502"/>
      <c r="I20" s="503"/>
      <c r="J20" s="293">
        <f t="shared" si="0"/>
        <v>0</v>
      </c>
    </row>
    <row r="21" spans="2:10">
      <c r="B21" s="486"/>
      <c r="C21" s="502"/>
      <c r="D21" s="502"/>
      <c r="E21" s="502"/>
      <c r="F21" s="502"/>
      <c r="G21" s="502"/>
      <c r="H21" s="502"/>
      <c r="I21" s="503"/>
      <c r="J21" s="293">
        <f t="shared" si="0"/>
        <v>0</v>
      </c>
    </row>
    <row r="22" spans="2:10">
      <c r="B22" s="486"/>
      <c r="C22" s="502"/>
      <c r="D22" s="502"/>
      <c r="E22" s="502"/>
      <c r="F22" s="502"/>
      <c r="G22" s="502"/>
      <c r="H22" s="502"/>
      <c r="I22" s="503"/>
      <c r="J22" s="293">
        <f t="shared" si="0"/>
        <v>0</v>
      </c>
    </row>
    <row r="23" spans="2:10">
      <c r="B23" s="486"/>
      <c r="C23" s="502"/>
      <c r="D23" s="502"/>
      <c r="E23" s="502"/>
      <c r="F23" s="502"/>
      <c r="G23" s="502"/>
      <c r="H23" s="502"/>
      <c r="I23" s="503"/>
      <c r="J23" s="293">
        <f t="shared" si="0"/>
        <v>0</v>
      </c>
    </row>
    <row r="24" spans="2:10">
      <c r="B24" s="486"/>
      <c r="C24" s="502"/>
      <c r="D24" s="502"/>
      <c r="E24" s="502"/>
      <c r="F24" s="502"/>
      <c r="G24" s="502"/>
      <c r="H24" s="502"/>
      <c r="I24" s="503"/>
      <c r="J24" s="293">
        <f t="shared" si="0"/>
        <v>0</v>
      </c>
    </row>
    <row r="25" spans="2:10">
      <c r="B25" s="486"/>
      <c r="C25" s="502"/>
      <c r="D25" s="502"/>
      <c r="E25" s="502"/>
      <c r="F25" s="502"/>
      <c r="G25" s="502"/>
      <c r="H25" s="502"/>
      <c r="I25" s="503"/>
      <c r="J25" s="293">
        <f t="shared" si="0"/>
        <v>0</v>
      </c>
    </row>
    <row r="26" spans="2:10">
      <c r="B26" s="488"/>
      <c r="C26" s="524"/>
      <c r="D26" s="524"/>
      <c r="E26" s="524"/>
      <c r="F26" s="524"/>
      <c r="G26" s="524"/>
      <c r="H26" s="524"/>
      <c r="I26" s="525"/>
      <c r="J26" s="293">
        <f t="shared" si="0"/>
        <v>0</v>
      </c>
    </row>
    <row r="27" spans="2:10">
      <c r="B27" s="244"/>
      <c r="C27" s="294"/>
      <c r="D27" s="294"/>
      <c r="E27" s="294"/>
      <c r="F27" s="294"/>
      <c r="G27" s="294"/>
      <c r="H27" s="294"/>
      <c r="I27" s="294"/>
      <c r="J27" s="293"/>
    </row>
    <row r="28" spans="2:10">
      <c r="B28" s="303" t="s">
        <v>91</v>
      </c>
      <c r="C28" s="304">
        <f>SUM(C8:C26)</f>
        <v>200</v>
      </c>
      <c r="D28" s="304">
        <f t="shared" ref="D28:I28" si="1">SUM(D8:D26)</f>
        <v>100</v>
      </c>
      <c r="E28" s="304">
        <f t="shared" si="1"/>
        <v>0</v>
      </c>
      <c r="F28" s="304">
        <f t="shared" si="1"/>
        <v>0</v>
      </c>
      <c r="G28" s="304">
        <f t="shared" si="1"/>
        <v>0</v>
      </c>
      <c r="H28" s="304">
        <f t="shared" si="1"/>
        <v>0</v>
      </c>
      <c r="I28" s="304">
        <f t="shared" si="1"/>
        <v>0</v>
      </c>
      <c r="J28" s="304">
        <f>SUM(J8:J26)</f>
        <v>300</v>
      </c>
    </row>
    <row r="29" spans="2:10">
      <c r="B29" s="292" t="s">
        <v>288</v>
      </c>
      <c r="C29" s="293">
        <f>C28*C6</f>
        <v>38</v>
      </c>
      <c r="D29" s="293">
        <f t="shared" ref="D29:I29" si="2">D28*D6</f>
        <v>19</v>
      </c>
      <c r="E29" s="293">
        <f t="shared" si="2"/>
        <v>0</v>
      </c>
      <c r="F29" s="293">
        <f t="shared" si="2"/>
        <v>0</v>
      </c>
      <c r="G29" s="293">
        <f t="shared" si="2"/>
        <v>0</v>
      </c>
      <c r="H29" s="293">
        <f t="shared" si="2"/>
        <v>0</v>
      </c>
      <c r="I29" s="293">
        <f t="shared" si="2"/>
        <v>0</v>
      </c>
      <c r="J29" s="293"/>
    </row>
    <row r="30" spans="2:10">
      <c r="B30" s="244" t="s">
        <v>289</v>
      </c>
      <c r="C30" s="312">
        <v>30</v>
      </c>
      <c r="D30" s="313"/>
      <c r="E30" s="313"/>
      <c r="F30" s="313"/>
      <c r="G30" s="313"/>
      <c r="H30" s="313"/>
      <c r="I30" s="313"/>
      <c r="J30" s="293"/>
    </row>
    <row r="31" spans="2:10">
      <c r="B31" s="244"/>
      <c r="C31" s="294"/>
      <c r="D31" s="294"/>
      <c r="E31" s="294"/>
      <c r="F31" s="294"/>
      <c r="G31" s="294"/>
      <c r="H31" s="294"/>
      <c r="I31" s="294"/>
      <c r="J31" s="293"/>
    </row>
    <row r="32" spans="2:10">
      <c r="B32" s="303" t="s">
        <v>120</v>
      </c>
      <c r="C32" s="304">
        <f>C29-C30</f>
        <v>8</v>
      </c>
      <c r="D32" s="304">
        <f t="shared" ref="D32:I32" si="3">D29-D30</f>
        <v>19</v>
      </c>
      <c r="E32" s="304">
        <f t="shared" si="3"/>
        <v>0</v>
      </c>
      <c r="F32" s="304">
        <f t="shared" si="3"/>
        <v>0</v>
      </c>
      <c r="G32" s="304">
        <f t="shared" si="3"/>
        <v>0</v>
      </c>
      <c r="H32" s="304">
        <f t="shared" si="3"/>
        <v>0</v>
      </c>
      <c r="I32" s="304">
        <f t="shared" si="3"/>
        <v>0</v>
      </c>
      <c r="J32" s="293"/>
    </row>
  </sheetData>
  <sheetProtection algorithmName="SHA-512" hashValue="u772Hxne4Xymz5uCBNLllJBy57SZrVm5ioyPk8rmIzlWashmCv8Fg8HTDbWMGGkIE944xGECjKlGQh4UvnLXPQ==" saltValue="y6kVzMGxmX/HPWkyaO/luw==" spinCount="100000" sheet="1" objects="1" scenarios="1"/>
  <mergeCells count="2">
    <mergeCell ref="B1:J1"/>
    <mergeCell ref="C3:I3"/>
  </mergeCells>
  <hyperlinks>
    <hyperlink ref="L1" location="Inhaltsverzeichnis!A1" display="zum Inhaltsverzeichnis" xr:uid="{C4F4DA0A-58BD-4F22-9E69-DDC8E4B7E10C}"/>
  </hyperlinks>
  <pageMargins left="0.7" right="0.7" top="0.78740157499999996" bottom="0.78740157499999996" header="0.3" footer="0.3"/>
  <pageSetup paperSize="9" scale="80" orientation="landscape" r:id="rId1"/>
  <colBreaks count="1" manualBreakCount="1">
    <brk id="11" max="104857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EE100-2CC4-4DF9-BBED-4397637292B3}">
  <sheetPr>
    <pageSetUpPr fitToPage="1"/>
  </sheetPr>
  <dimension ref="A1:I39"/>
  <sheetViews>
    <sheetView showGridLines="0" zoomScaleNormal="100" workbookViewId="0">
      <pane ySplit="6" topLeftCell="A7" activePane="bottomLeft" state="frozen"/>
      <selection pane="bottomLeft" activeCell="B2" sqref="B2:G2"/>
    </sheetView>
  </sheetViews>
  <sheetFormatPr baseColWidth="10" defaultColWidth="0" defaultRowHeight="15" zeroHeight="1"/>
  <cols>
    <col min="1" max="1" width="1.7109375" customWidth="1"/>
    <col min="2" max="2" width="20.5703125" customWidth="1"/>
    <col min="3" max="3" width="11.42578125" customWidth="1"/>
    <col min="4" max="4" width="16.5703125" customWidth="1"/>
    <col min="5" max="5" width="20.28515625" customWidth="1"/>
    <col min="6" max="6" width="27.5703125" customWidth="1"/>
    <col min="7" max="7" width="15.28515625" bestFit="1" customWidth="1"/>
    <col min="8" max="8" width="1.7109375" customWidth="1"/>
    <col min="9" max="9" width="21.42578125" bestFit="1" customWidth="1"/>
    <col min="10" max="16384" width="11.42578125" hidden="1"/>
  </cols>
  <sheetData>
    <row r="1" spans="2:9" ht="35.1" customHeight="1">
      <c r="B1" s="1079" t="s">
        <v>422</v>
      </c>
      <c r="C1" s="1092"/>
      <c r="D1" s="1092"/>
      <c r="E1" s="1092"/>
      <c r="F1" s="1092"/>
      <c r="G1" s="1092"/>
      <c r="H1" s="290"/>
      <c r="I1" s="480" t="s">
        <v>269</v>
      </c>
    </row>
    <row r="2" spans="2:9" s="743" customFormat="1" ht="14.1" customHeight="1">
      <c r="B2" s="1166" t="s">
        <v>421</v>
      </c>
      <c r="C2" s="1166"/>
      <c r="D2" s="1166"/>
      <c r="E2" s="1166"/>
      <c r="F2" s="1166"/>
      <c r="G2" s="1166"/>
      <c r="H2" s="740"/>
      <c r="I2" s="741"/>
    </row>
    <row r="3" spans="2:9" s="743" customFormat="1" ht="14.1" customHeight="1">
      <c r="B3" s="1351" t="s">
        <v>424</v>
      </c>
      <c r="C3" s="1351"/>
      <c r="D3" s="1351"/>
      <c r="E3" s="1169" t="s">
        <v>558</v>
      </c>
      <c r="F3" s="1169"/>
      <c r="G3" s="1169"/>
      <c r="H3" s="740"/>
      <c r="I3" s="741"/>
    </row>
    <row r="4" spans="2:9" s="93" customFormat="1">
      <c r="G4" s="603" t="s">
        <v>314</v>
      </c>
    </row>
    <row r="5" spans="2:9">
      <c r="B5" s="237" t="s">
        <v>75</v>
      </c>
      <c r="C5" s="1342" t="str">
        <f>Mandantendaten!C3</f>
        <v>Max Mustermann</v>
      </c>
      <c r="D5" s="1343"/>
      <c r="E5" s="1343"/>
      <c r="F5" s="1343"/>
      <c r="G5" s="324">
        <f>Mandantendaten!C5</f>
        <v>44561</v>
      </c>
    </row>
    <row r="6" spans="2:9">
      <c r="B6" s="224"/>
      <c r="C6" s="224"/>
      <c r="D6" s="224"/>
      <c r="E6" s="225"/>
      <c r="F6" s="225"/>
      <c r="G6" s="225"/>
    </row>
    <row r="7" spans="2:9">
      <c r="B7" s="526"/>
      <c r="C7" s="337" t="s">
        <v>132</v>
      </c>
      <c r="D7" s="338">
        <f>IF(YEAR($G$5)=2020,$G$5-365,IF(YEAR($G$5)=2024,$G$5-365,IF(YEAR($G$5)=2025,$G$5-365,$G$5-364)))</f>
        <v>44197</v>
      </c>
      <c r="E7" s="335" t="s">
        <v>133</v>
      </c>
      <c r="F7" s="335" t="s">
        <v>134</v>
      </c>
      <c r="G7" s="336">
        <f>G5</f>
        <v>44561</v>
      </c>
    </row>
    <row r="8" spans="2:9">
      <c r="B8" s="125"/>
      <c r="C8" s="1179"/>
      <c r="D8" s="1350"/>
      <c r="E8" s="180"/>
      <c r="F8" s="181"/>
      <c r="G8" s="73">
        <f>C8-E8+F8</f>
        <v>0</v>
      </c>
    </row>
    <row r="9" spans="2:9">
      <c r="B9" s="127"/>
      <c r="C9" s="1181"/>
      <c r="D9" s="1349"/>
      <c r="E9" s="182"/>
      <c r="F9" s="183"/>
      <c r="G9" s="73">
        <f>C9-E9+F9</f>
        <v>0</v>
      </c>
    </row>
    <row r="10" spans="2:9">
      <c r="B10" s="127"/>
      <c r="C10" s="1181"/>
      <c r="D10" s="1349"/>
      <c r="E10" s="182"/>
      <c r="F10" s="183"/>
      <c r="G10" s="73">
        <f>C10-E10+F10</f>
        <v>0</v>
      </c>
    </row>
    <row r="11" spans="2:9">
      <c r="B11" s="129"/>
      <c r="C11" s="1177"/>
      <c r="D11" s="1348"/>
      <c r="E11" s="184"/>
      <c r="F11" s="185"/>
      <c r="G11" s="73">
        <f>C11-E11+F11</f>
        <v>0</v>
      </c>
    </row>
    <row r="12" spans="2:9">
      <c r="B12" s="230" t="s">
        <v>91</v>
      </c>
      <c r="C12" s="230"/>
      <c r="D12" s="332">
        <f>SUM(C8:D11)</f>
        <v>0</v>
      </c>
      <c r="E12" s="332">
        <f>SUM(E8:E11)</f>
        <v>0</v>
      </c>
      <c r="F12" s="332">
        <f>SUM(F8:F11)</f>
        <v>0</v>
      </c>
      <c r="G12" s="332">
        <f>SUM(G8:G11)</f>
        <v>0</v>
      </c>
    </row>
    <row r="13" spans="2:9">
      <c r="B13" s="232"/>
      <c r="C13" s="232"/>
      <c r="D13" s="232"/>
      <c r="E13" s="233"/>
      <c r="F13" s="233"/>
      <c r="G13" s="233"/>
    </row>
    <row r="14" spans="2:9">
      <c r="B14" s="526"/>
      <c r="C14" s="337" t="s">
        <v>132</v>
      </c>
      <c r="D14" s="338">
        <f>IF(YEAR($G$5)=2020,$G$5-365,IF(YEAR($G$5)=2024,$G$5-365,IF(YEAR($G$5)=2025,$G$5-365,$G$5-364)))</f>
        <v>44197</v>
      </c>
      <c r="E14" s="335" t="s">
        <v>133</v>
      </c>
      <c r="F14" s="335" t="s">
        <v>134</v>
      </c>
      <c r="G14" s="336">
        <f>G5</f>
        <v>44561</v>
      </c>
    </row>
    <row r="15" spans="2:9">
      <c r="B15" s="125"/>
      <c r="C15" s="1179"/>
      <c r="D15" s="1350"/>
      <c r="E15" s="339"/>
      <c r="F15" s="139"/>
      <c r="G15" s="73">
        <f>C15-E15+F15</f>
        <v>0</v>
      </c>
    </row>
    <row r="16" spans="2:9">
      <c r="B16" s="127"/>
      <c r="C16" s="1181"/>
      <c r="D16" s="1349"/>
      <c r="E16" s="340"/>
      <c r="F16" s="143"/>
      <c r="G16" s="73">
        <f>C16-E16+F16</f>
        <v>0</v>
      </c>
    </row>
    <row r="17" spans="2:7">
      <c r="B17" s="127"/>
      <c r="C17" s="1181"/>
      <c r="D17" s="1349"/>
      <c r="E17" s="340"/>
      <c r="F17" s="143"/>
      <c r="G17" s="73">
        <f>C17-E17+F17</f>
        <v>0</v>
      </c>
    </row>
    <row r="18" spans="2:7">
      <c r="B18" s="127"/>
      <c r="C18" s="1181"/>
      <c r="D18" s="1349"/>
      <c r="E18" s="340"/>
      <c r="F18" s="143"/>
      <c r="G18" s="73">
        <f>C18-E18+F18</f>
        <v>0</v>
      </c>
    </row>
    <row r="19" spans="2:7">
      <c r="B19" s="129"/>
      <c r="C19" s="1177"/>
      <c r="D19" s="1348"/>
      <c r="E19" s="341"/>
      <c r="F19" s="146"/>
      <c r="G19" s="73">
        <f>C19-E19+F19</f>
        <v>0</v>
      </c>
    </row>
    <row r="20" spans="2:7">
      <c r="B20" s="230" t="s">
        <v>91</v>
      </c>
      <c r="C20" s="230"/>
      <c r="D20" s="333">
        <f>SUM(C15:D19)</f>
        <v>0</v>
      </c>
      <c r="E20" s="332">
        <f>SUM(E15:E19)</f>
        <v>0</v>
      </c>
      <c r="F20" s="332">
        <f>SUM(F15:F19)</f>
        <v>0</v>
      </c>
      <c r="G20" s="332">
        <f>SUM(G15:G19)</f>
        <v>0</v>
      </c>
    </row>
    <row r="21" spans="2:7">
      <c r="B21" s="232"/>
      <c r="C21" s="232"/>
      <c r="D21" s="232"/>
      <c r="E21" s="233"/>
      <c r="F21" s="233"/>
      <c r="G21" s="233"/>
    </row>
    <row r="22" spans="2:7">
      <c r="B22" s="527"/>
      <c r="C22" s="337" t="s">
        <v>132</v>
      </c>
      <c r="D22" s="338">
        <f>IF(YEAR($G$5)=2020,$G$5-365,IF(YEAR($G$5)=2024,$G$5-365,IF(YEAR($G$5)=2025,$G$5-365,$G$5-364)))</f>
        <v>44197</v>
      </c>
      <c r="E22" s="335" t="s">
        <v>133</v>
      </c>
      <c r="F22" s="335" t="s">
        <v>134</v>
      </c>
      <c r="G22" s="336">
        <f>G5</f>
        <v>44561</v>
      </c>
    </row>
    <row r="23" spans="2:7">
      <c r="B23" s="466"/>
      <c r="C23" s="1179"/>
      <c r="D23" s="1350"/>
      <c r="E23" s="339"/>
      <c r="F23" s="139"/>
      <c r="G23" s="73">
        <f>C23-E23+F23</f>
        <v>0</v>
      </c>
    </row>
    <row r="24" spans="2:7">
      <c r="B24" s="467"/>
      <c r="C24" s="1181"/>
      <c r="D24" s="1349"/>
      <c r="E24" s="340"/>
      <c r="F24" s="143"/>
      <c r="G24" s="73">
        <f>C24-E24+F24</f>
        <v>0</v>
      </c>
    </row>
    <row r="25" spans="2:7">
      <c r="B25" s="467"/>
      <c r="C25" s="1181"/>
      <c r="D25" s="1349"/>
      <c r="E25" s="340"/>
      <c r="F25" s="143"/>
      <c r="G25" s="73">
        <f>C25-E25+F25</f>
        <v>0</v>
      </c>
    </row>
    <row r="26" spans="2:7">
      <c r="B26" s="467"/>
      <c r="C26" s="1181"/>
      <c r="D26" s="1349"/>
      <c r="E26" s="340"/>
      <c r="F26" s="143"/>
      <c r="G26" s="73">
        <f>C26-E26+F26</f>
        <v>0</v>
      </c>
    </row>
    <row r="27" spans="2:7">
      <c r="B27" s="468"/>
      <c r="C27" s="1177"/>
      <c r="D27" s="1348"/>
      <c r="E27" s="341"/>
      <c r="F27" s="146"/>
      <c r="G27" s="73">
        <f>C27-E27+F27</f>
        <v>0</v>
      </c>
    </row>
    <row r="28" spans="2:7">
      <c r="B28" s="230" t="s">
        <v>91</v>
      </c>
      <c r="C28" s="230"/>
      <c r="D28" s="332">
        <f>SUM(C23:D27)</f>
        <v>0</v>
      </c>
      <c r="E28" s="332">
        <f>SUM(E23:E27)</f>
        <v>0</v>
      </c>
      <c r="F28" s="332">
        <f>SUM(F23:F27)</f>
        <v>0</v>
      </c>
      <c r="G28" s="332">
        <f>SUM(G23:G27)</f>
        <v>0</v>
      </c>
    </row>
    <row r="29" spans="2:7">
      <c r="B29" s="232"/>
      <c r="C29" s="232"/>
      <c r="D29" s="232"/>
      <c r="E29" s="233"/>
      <c r="F29" s="233"/>
      <c r="G29" s="233"/>
    </row>
    <row r="30" spans="2:7">
      <c r="B30" s="528"/>
      <c r="C30" s="337" t="s">
        <v>132</v>
      </c>
      <c r="D30" s="338">
        <f>IF(YEAR($G$5)=2020,$G$5-365,IF(YEAR($G$5)=2024,$G$5-365,IF(YEAR($G$5)=2025,$G$5-365,$G$5-364)))</f>
        <v>44197</v>
      </c>
      <c r="E30" s="335" t="s">
        <v>133</v>
      </c>
      <c r="F30" s="335" t="s">
        <v>134</v>
      </c>
      <c r="G30" s="336">
        <f>G5</f>
        <v>44561</v>
      </c>
    </row>
    <row r="31" spans="2:7">
      <c r="B31" s="125"/>
      <c r="C31" s="1179"/>
      <c r="D31" s="1350"/>
      <c r="E31" s="219"/>
      <c r="F31" s="181"/>
      <c r="G31" s="73">
        <f>C31-E31+F31</f>
        <v>0</v>
      </c>
    </row>
    <row r="32" spans="2:7">
      <c r="B32" s="127"/>
      <c r="C32" s="1181"/>
      <c r="D32" s="1349"/>
      <c r="E32" s="220"/>
      <c r="F32" s="183"/>
      <c r="G32" s="73">
        <f>C32-E32+F32</f>
        <v>0</v>
      </c>
    </row>
    <row r="33" spans="2:7">
      <c r="B33" s="127"/>
      <c r="C33" s="1181"/>
      <c r="D33" s="1349"/>
      <c r="E33" s="220"/>
      <c r="F33" s="183"/>
      <c r="G33" s="73">
        <f>C33-E33+F33</f>
        <v>0</v>
      </c>
    </row>
    <row r="34" spans="2:7">
      <c r="B34" s="127"/>
      <c r="C34" s="1181"/>
      <c r="D34" s="1349"/>
      <c r="E34" s="220"/>
      <c r="F34" s="183"/>
      <c r="G34" s="73">
        <f>C34-E34+F34</f>
        <v>0</v>
      </c>
    </row>
    <row r="35" spans="2:7">
      <c r="B35" s="129"/>
      <c r="C35" s="1177"/>
      <c r="D35" s="1348"/>
      <c r="E35" s="221"/>
      <c r="F35" s="185"/>
      <c r="G35" s="73">
        <f>C35-E35+F35</f>
        <v>0</v>
      </c>
    </row>
    <row r="36" spans="2:7">
      <c r="B36" s="230" t="s">
        <v>91</v>
      </c>
      <c r="C36" s="230"/>
      <c r="D36" s="332">
        <f>SUM(C31:D35)</f>
        <v>0</v>
      </c>
      <c r="E36" s="332">
        <f>SUM(E31:E35)</f>
        <v>0</v>
      </c>
      <c r="F36" s="332">
        <f>SUM(F31:F35)</f>
        <v>0</v>
      </c>
      <c r="G36" s="332">
        <f>SUM(G31:G35)</f>
        <v>0</v>
      </c>
    </row>
    <row r="37" spans="2:7">
      <c r="B37" s="232"/>
      <c r="C37" s="232"/>
      <c r="D37" s="232"/>
      <c r="E37" s="226"/>
      <c r="F37" s="226"/>
      <c r="G37" s="89"/>
    </row>
    <row r="38" spans="2:7">
      <c r="B38" s="230" t="s">
        <v>141</v>
      </c>
      <c r="C38" s="230"/>
      <c r="D38" s="332">
        <f>D36+D28+D20+D12</f>
        <v>0</v>
      </c>
      <c r="E38" s="332">
        <f>E36+E28+E20+E12</f>
        <v>0</v>
      </c>
      <c r="F38" s="332">
        <f>F36+F28+F20+F12</f>
        <v>0</v>
      </c>
      <c r="G38" s="332">
        <f>G36+G28+G20+G12</f>
        <v>0</v>
      </c>
    </row>
    <row r="39" spans="2:7"/>
  </sheetData>
  <sheetProtection algorithmName="SHA-512" hashValue="5Nu6j65NRDrGEDXe225jyh/geyyZpnnICbq1g+ZHCdz6MYYma5a1BVpdqueTZOuiAa7qW3dY9XFqNTNiL0xG7g==" saltValue="gJJHC1rjatigW7tO0UcHLw==" spinCount="100000" sheet="1" objects="1" scenarios="1"/>
  <mergeCells count="24">
    <mergeCell ref="E3:G3"/>
    <mergeCell ref="C25:D25"/>
    <mergeCell ref="C8:D8"/>
    <mergeCell ref="C9:D9"/>
    <mergeCell ref="C10:D10"/>
    <mergeCell ref="C11:D11"/>
    <mergeCell ref="C15:D15"/>
    <mergeCell ref="C16:D16"/>
    <mergeCell ref="B2:G2"/>
    <mergeCell ref="C35:D35"/>
    <mergeCell ref="B1:G1"/>
    <mergeCell ref="C5:F5"/>
    <mergeCell ref="C26:D26"/>
    <mergeCell ref="C27:D27"/>
    <mergeCell ref="C31:D31"/>
    <mergeCell ref="C32:D32"/>
    <mergeCell ref="C33:D33"/>
    <mergeCell ref="C34:D34"/>
    <mergeCell ref="C17:D17"/>
    <mergeCell ref="C18:D18"/>
    <mergeCell ref="C19:D19"/>
    <mergeCell ref="C23:D23"/>
    <mergeCell ref="C24:D24"/>
    <mergeCell ref="B3:D3"/>
  </mergeCells>
  <hyperlinks>
    <hyperlink ref="I1" location="Inhaltsverzeichnis!A1" display="zum Inhaltsverzeichnis" xr:uid="{CFC1878F-38EB-4E1A-95AE-943CFEBFDFCC}"/>
  </hyperlinks>
  <pageMargins left="0.7" right="0.7" top="0.78740157499999996" bottom="0.78740157499999996" header="0.3" footer="0.3"/>
  <pageSetup paperSize="9" scale="88" orientation="landscape" r:id="rId1"/>
  <colBreaks count="1" manualBreakCount="1">
    <brk id="8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386B-78E8-4390-8EFF-9923D3F3737C}">
  <sheetPr>
    <pageSetUpPr fitToPage="1"/>
  </sheetPr>
  <dimension ref="A1:J37"/>
  <sheetViews>
    <sheetView showGridLines="0" zoomScaleNormal="100" workbookViewId="0">
      <pane ySplit="8" topLeftCell="A9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20.7109375" customWidth="1"/>
    <col min="3" max="3" width="12.5703125" customWidth="1"/>
    <col min="4" max="4" width="16.85546875" customWidth="1"/>
    <col min="5" max="5" width="18.85546875" customWidth="1"/>
    <col min="6" max="6" width="21.7109375" customWidth="1"/>
    <col min="7" max="7" width="16.5703125" customWidth="1"/>
    <col min="8" max="8" width="21.42578125" customWidth="1"/>
    <col min="9" max="9" width="1.7109375" customWidth="1"/>
    <col min="10" max="10" width="21.42578125" bestFit="1" customWidth="1"/>
    <col min="11" max="16384" width="11.42578125" hidden="1"/>
  </cols>
  <sheetData>
    <row r="1" spans="2:10" ht="35.1" customHeight="1">
      <c r="B1" s="1079" t="s">
        <v>423</v>
      </c>
      <c r="C1" s="1092"/>
      <c r="D1" s="1092"/>
      <c r="E1" s="1092"/>
      <c r="F1" s="1092"/>
      <c r="G1" s="1092"/>
      <c r="H1" s="1092"/>
      <c r="J1" s="464" t="s">
        <v>269</v>
      </c>
    </row>
    <row r="2" spans="2:10" s="743" customFormat="1" ht="14.65" customHeight="1">
      <c r="B2" s="1166" t="s">
        <v>421</v>
      </c>
      <c r="C2" s="1166"/>
      <c r="D2" s="1166"/>
      <c r="E2" s="1166"/>
      <c r="F2" s="1166"/>
      <c r="G2" s="1166"/>
      <c r="H2" s="740"/>
      <c r="J2" s="464"/>
    </row>
    <row r="3" spans="2:10" s="743" customFormat="1" ht="14.65" customHeight="1">
      <c r="B3" s="1166" t="s">
        <v>424</v>
      </c>
      <c r="C3" s="1166"/>
      <c r="D3" s="1166"/>
      <c r="E3" s="1166"/>
      <c r="F3" s="1166"/>
      <c r="G3" s="742"/>
      <c r="H3" s="740"/>
      <c r="J3" s="464"/>
    </row>
    <row r="4" spans="2:10">
      <c r="H4" s="603" t="s">
        <v>314</v>
      </c>
    </row>
    <row r="5" spans="2:10">
      <c r="B5" s="237" t="s">
        <v>75</v>
      </c>
      <c r="C5" s="1342" t="str">
        <f>Mandantendaten!C3</f>
        <v>Max Mustermann</v>
      </c>
      <c r="D5" s="1343"/>
      <c r="E5" s="1343"/>
      <c r="F5" s="1343"/>
      <c r="G5" s="1343"/>
      <c r="H5" s="262">
        <f>Mandantendaten!C5</f>
        <v>44561</v>
      </c>
    </row>
    <row r="6" spans="2:10">
      <c r="B6" s="224"/>
      <c r="C6" s="224"/>
      <c r="D6" s="225"/>
      <c r="E6" s="225"/>
      <c r="F6" s="225"/>
      <c r="G6" s="225"/>
      <c r="H6" s="224"/>
    </row>
    <row r="7" spans="2:10">
      <c r="B7" s="342" t="s">
        <v>113</v>
      </c>
      <c r="C7" s="342" t="s">
        <v>142</v>
      </c>
      <c r="D7" s="1352" t="s">
        <v>143</v>
      </c>
      <c r="E7" s="1352"/>
      <c r="F7" s="335" t="s">
        <v>86</v>
      </c>
      <c r="G7" s="343" t="s">
        <v>216</v>
      </c>
      <c r="H7" s="343" t="s">
        <v>217</v>
      </c>
    </row>
    <row r="8" spans="2:10">
      <c r="B8" s="101"/>
      <c r="C8" s="101" t="s">
        <v>144</v>
      </c>
      <c r="D8" s="101" t="s">
        <v>145</v>
      </c>
      <c r="E8" s="101" t="s">
        <v>146</v>
      </c>
      <c r="F8" s="66"/>
      <c r="G8" s="67"/>
      <c r="H8" s="67"/>
    </row>
    <row r="9" spans="2:10">
      <c r="B9" s="71"/>
      <c r="C9" s="150"/>
      <c r="D9" s="36"/>
      <c r="E9" s="36"/>
      <c r="F9" s="181"/>
      <c r="G9" s="102">
        <f>IF(H$4&lt;E9,IF(F9="","",(E9-$G$4)/(E9-D9)*F9),0)</f>
        <v>0</v>
      </c>
      <c r="H9" s="226">
        <f t="shared" ref="H9:H34" si="0">IF(G9="","",(ROUNDUP(G9,0)))</f>
        <v>0</v>
      </c>
    </row>
    <row r="10" spans="2:10">
      <c r="B10" s="74"/>
      <c r="C10" s="153"/>
      <c r="D10" s="42"/>
      <c r="E10" s="42"/>
      <c r="F10" s="183"/>
      <c r="G10" s="102">
        <f t="shared" ref="G10:G24" si="1">IF(H$4&lt;E10,IF(F10="","",(E10-$G$4)/(E10-D10)*F10),0)</f>
        <v>0</v>
      </c>
      <c r="H10" s="226">
        <f t="shared" si="0"/>
        <v>0</v>
      </c>
    </row>
    <row r="11" spans="2:10">
      <c r="B11" s="74"/>
      <c r="C11" s="153"/>
      <c r="D11" s="42"/>
      <c r="E11" s="42"/>
      <c r="F11" s="183"/>
      <c r="G11" s="102">
        <f t="shared" si="1"/>
        <v>0</v>
      </c>
      <c r="H11" s="226">
        <f t="shared" si="0"/>
        <v>0</v>
      </c>
    </row>
    <row r="12" spans="2:10">
      <c r="B12" s="74"/>
      <c r="C12" s="153"/>
      <c r="D12" s="42"/>
      <c r="E12" s="42"/>
      <c r="F12" s="183"/>
      <c r="G12" s="102">
        <f t="shared" si="1"/>
        <v>0</v>
      </c>
      <c r="H12" s="226">
        <f t="shared" si="0"/>
        <v>0</v>
      </c>
    </row>
    <row r="13" spans="2:10">
      <c r="B13" s="74"/>
      <c r="C13" s="153"/>
      <c r="D13" s="42"/>
      <c r="E13" s="42"/>
      <c r="F13" s="183"/>
      <c r="G13" s="102">
        <f t="shared" si="1"/>
        <v>0</v>
      </c>
      <c r="H13" s="226">
        <f t="shared" si="0"/>
        <v>0</v>
      </c>
    </row>
    <row r="14" spans="2:10">
      <c r="B14" s="74"/>
      <c r="C14" s="153"/>
      <c r="D14" s="42"/>
      <c r="E14" s="42"/>
      <c r="F14" s="183"/>
      <c r="G14" s="102">
        <f t="shared" si="1"/>
        <v>0</v>
      </c>
      <c r="H14" s="226">
        <f t="shared" si="0"/>
        <v>0</v>
      </c>
    </row>
    <row r="15" spans="2:10">
      <c r="B15" s="74"/>
      <c r="C15" s="153"/>
      <c r="D15" s="42"/>
      <c r="E15" s="42"/>
      <c r="F15" s="183"/>
      <c r="G15" s="102">
        <f t="shared" si="1"/>
        <v>0</v>
      </c>
      <c r="H15" s="226">
        <f t="shared" si="0"/>
        <v>0</v>
      </c>
    </row>
    <row r="16" spans="2:10">
      <c r="B16" s="74"/>
      <c r="C16" s="153"/>
      <c r="D16" s="42"/>
      <c r="E16" s="42"/>
      <c r="F16" s="183"/>
      <c r="G16" s="102">
        <f t="shared" si="1"/>
        <v>0</v>
      </c>
      <c r="H16" s="226">
        <f t="shared" si="0"/>
        <v>0</v>
      </c>
    </row>
    <row r="17" spans="2:8">
      <c r="B17" s="74"/>
      <c r="C17" s="153"/>
      <c r="D17" s="42"/>
      <c r="E17" s="42"/>
      <c r="F17" s="183"/>
      <c r="G17" s="102">
        <f t="shared" si="1"/>
        <v>0</v>
      </c>
      <c r="H17" s="226">
        <f t="shared" si="0"/>
        <v>0</v>
      </c>
    </row>
    <row r="18" spans="2:8">
      <c r="B18" s="74"/>
      <c r="C18" s="153"/>
      <c r="D18" s="42"/>
      <c r="E18" s="42"/>
      <c r="F18" s="183"/>
      <c r="G18" s="102">
        <f t="shared" si="1"/>
        <v>0</v>
      </c>
      <c r="H18" s="226">
        <f t="shared" si="0"/>
        <v>0</v>
      </c>
    </row>
    <row r="19" spans="2:8">
      <c r="B19" s="74"/>
      <c r="C19" s="153"/>
      <c r="D19" s="42"/>
      <c r="E19" s="42"/>
      <c r="F19" s="183"/>
      <c r="G19" s="102">
        <f t="shared" si="1"/>
        <v>0</v>
      </c>
      <c r="H19" s="226">
        <f t="shared" si="0"/>
        <v>0</v>
      </c>
    </row>
    <row r="20" spans="2:8">
      <c r="B20" s="74"/>
      <c r="C20" s="153"/>
      <c r="D20" s="42"/>
      <c r="E20" s="42"/>
      <c r="F20" s="183"/>
      <c r="G20" s="102">
        <f t="shared" si="1"/>
        <v>0</v>
      </c>
      <c r="H20" s="226">
        <f t="shared" si="0"/>
        <v>0</v>
      </c>
    </row>
    <row r="21" spans="2:8">
      <c r="B21" s="74"/>
      <c r="C21" s="153"/>
      <c r="D21" s="42"/>
      <c r="E21" s="42"/>
      <c r="F21" s="183"/>
      <c r="G21" s="102">
        <f t="shared" si="1"/>
        <v>0</v>
      </c>
      <c r="H21" s="226">
        <f t="shared" si="0"/>
        <v>0</v>
      </c>
    </row>
    <row r="22" spans="2:8">
      <c r="B22" s="74"/>
      <c r="C22" s="153"/>
      <c r="D22" s="42"/>
      <c r="E22" s="42"/>
      <c r="F22" s="183"/>
      <c r="G22" s="102">
        <f t="shared" si="1"/>
        <v>0</v>
      </c>
      <c r="H22" s="226">
        <f t="shared" si="0"/>
        <v>0</v>
      </c>
    </row>
    <row r="23" spans="2:8">
      <c r="B23" s="74"/>
      <c r="C23" s="153"/>
      <c r="D23" s="42"/>
      <c r="E23" s="42"/>
      <c r="F23" s="183"/>
      <c r="G23" s="102">
        <f t="shared" si="1"/>
        <v>0</v>
      </c>
      <c r="H23" s="226">
        <f t="shared" si="0"/>
        <v>0</v>
      </c>
    </row>
    <row r="24" spans="2:8">
      <c r="B24" s="74"/>
      <c r="C24" s="153"/>
      <c r="D24" s="42"/>
      <c r="E24" s="42"/>
      <c r="F24" s="183"/>
      <c r="G24" s="102">
        <f t="shared" si="1"/>
        <v>0</v>
      </c>
      <c r="H24" s="226">
        <f t="shared" si="0"/>
        <v>0</v>
      </c>
    </row>
    <row r="25" spans="2:8">
      <c r="B25" s="74"/>
      <c r="C25" s="153"/>
      <c r="D25" s="42"/>
      <c r="E25" s="42"/>
      <c r="F25" s="183"/>
      <c r="G25" s="102">
        <f>IF(H$5&lt;E25,(E25-H$5)/(E25-D25)*F25,0)</f>
        <v>0</v>
      </c>
      <c r="H25" s="226">
        <f t="shared" si="0"/>
        <v>0</v>
      </c>
    </row>
    <row r="26" spans="2:8">
      <c r="B26" s="74"/>
      <c r="C26" s="153"/>
      <c r="D26" s="42"/>
      <c r="E26" s="42"/>
      <c r="F26" s="183"/>
      <c r="G26" s="102">
        <f t="shared" ref="G26:G34" si="2">IF(H$5&lt;E26,(E26-H$5)/(E26-D26)*F26,0)</f>
        <v>0</v>
      </c>
      <c r="H26" s="226">
        <f t="shared" si="0"/>
        <v>0</v>
      </c>
    </row>
    <row r="27" spans="2:8">
      <c r="B27" s="74"/>
      <c r="C27" s="153"/>
      <c r="D27" s="42"/>
      <c r="E27" s="42"/>
      <c r="F27" s="183"/>
      <c r="G27" s="102">
        <f t="shared" si="2"/>
        <v>0</v>
      </c>
      <c r="H27" s="226">
        <f t="shared" si="0"/>
        <v>0</v>
      </c>
    </row>
    <row r="28" spans="2:8">
      <c r="B28" s="74"/>
      <c r="C28" s="153"/>
      <c r="D28" s="42"/>
      <c r="E28" s="42"/>
      <c r="F28" s="183"/>
      <c r="G28" s="102">
        <f t="shared" si="2"/>
        <v>0</v>
      </c>
      <c r="H28" s="226">
        <f t="shared" si="0"/>
        <v>0</v>
      </c>
    </row>
    <row r="29" spans="2:8">
      <c r="B29" s="74"/>
      <c r="C29" s="153"/>
      <c r="D29" s="42"/>
      <c r="E29" s="42"/>
      <c r="F29" s="183"/>
      <c r="G29" s="102">
        <f t="shared" si="2"/>
        <v>0</v>
      </c>
      <c r="H29" s="226">
        <f t="shared" si="0"/>
        <v>0</v>
      </c>
    </row>
    <row r="30" spans="2:8">
      <c r="B30" s="74"/>
      <c r="C30" s="153"/>
      <c r="D30" s="42"/>
      <c r="E30" s="42"/>
      <c r="F30" s="183"/>
      <c r="G30" s="102">
        <f t="shared" si="2"/>
        <v>0</v>
      </c>
      <c r="H30" s="226">
        <f t="shared" si="0"/>
        <v>0</v>
      </c>
    </row>
    <row r="31" spans="2:8">
      <c r="B31" s="74"/>
      <c r="C31" s="153"/>
      <c r="D31" s="42"/>
      <c r="E31" s="42"/>
      <c r="F31" s="183"/>
      <c r="G31" s="102">
        <f t="shared" si="2"/>
        <v>0</v>
      </c>
      <c r="H31" s="226">
        <f t="shared" si="0"/>
        <v>0</v>
      </c>
    </row>
    <row r="32" spans="2:8">
      <c r="B32" s="74"/>
      <c r="C32" s="153"/>
      <c r="D32" s="42"/>
      <c r="E32" s="42"/>
      <c r="F32" s="183"/>
      <c r="G32" s="102">
        <f t="shared" si="2"/>
        <v>0</v>
      </c>
      <c r="H32" s="226">
        <f t="shared" si="0"/>
        <v>0</v>
      </c>
    </row>
    <row r="33" spans="2:8">
      <c r="B33" s="74"/>
      <c r="C33" s="153"/>
      <c r="D33" s="42"/>
      <c r="E33" s="42"/>
      <c r="F33" s="183"/>
      <c r="G33" s="102">
        <f t="shared" si="2"/>
        <v>0</v>
      </c>
      <c r="H33" s="226">
        <f t="shared" si="0"/>
        <v>0</v>
      </c>
    </row>
    <row r="34" spans="2:8">
      <c r="B34" s="78"/>
      <c r="C34" s="156"/>
      <c r="D34" s="47"/>
      <c r="E34" s="47"/>
      <c r="F34" s="185"/>
      <c r="G34" s="102">
        <f t="shared" si="2"/>
        <v>0</v>
      </c>
      <c r="H34" s="226">
        <f t="shared" si="0"/>
        <v>0</v>
      </c>
    </row>
    <row r="35" spans="2:8">
      <c r="B35" s="17"/>
      <c r="C35" s="17"/>
      <c r="D35" s="227"/>
      <c r="E35" s="228"/>
      <c r="F35" s="229"/>
      <c r="G35" s="344"/>
      <c r="H35" s="73"/>
    </row>
    <row r="36" spans="2:8">
      <c r="B36" s="230" t="s">
        <v>91</v>
      </c>
      <c r="C36" s="230"/>
      <c r="D36" s="231"/>
      <c r="E36" s="231"/>
      <c r="F36" s="231">
        <f>SUM(F9:F35)</f>
        <v>0</v>
      </c>
      <c r="G36" s="231">
        <f>SUM(G9:G35)</f>
        <v>0</v>
      </c>
      <c r="H36" s="231">
        <f>SUM(H9:H35)</f>
        <v>0</v>
      </c>
    </row>
    <row r="37" spans="2:8"/>
  </sheetData>
  <sheetProtection algorithmName="SHA-512" hashValue="jJcILXAfHPseEYOqdnAUSnS56t3/+ZI2IczT5DFhZ/DYz1uIrwFN5b9JI8El6gUEKG6/et9YI7avLvm89/97gg==" saltValue="ZAMzlKoESAAFSEQUoI2M+Q==" spinCount="100000" sheet="1" objects="1" scenarios="1"/>
  <mergeCells count="5">
    <mergeCell ref="D7:E7"/>
    <mergeCell ref="B1:H1"/>
    <mergeCell ref="C5:G5"/>
    <mergeCell ref="B2:G2"/>
    <mergeCell ref="B3:F3"/>
  </mergeCells>
  <hyperlinks>
    <hyperlink ref="J1" location="Inhaltsverzeichnis!A1" display="zum Inhaltsverzeichnis" xr:uid="{A2E8A8B8-ECA5-4DB6-8329-15590E45A25F}"/>
  </hyperlinks>
  <pageMargins left="0.7" right="0.7" top="0.78740157499999996" bottom="0.78740157499999996" header="0.3" footer="0.3"/>
  <pageSetup paperSize="9" scale="88" orientation="landscape" r:id="rId1"/>
  <colBreaks count="1" manualBreakCount="1">
    <brk id="9" max="1048575" man="1"/>
  </col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34FB-5E94-4BB5-8048-6B584281AED0}">
  <sheetPr>
    <pageSetUpPr fitToPage="1"/>
  </sheetPr>
  <dimension ref="A1:I39"/>
  <sheetViews>
    <sheetView showGridLines="0" zoomScaleNormal="100" workbookViewId="0">
      <pane ySplit="5" topLeftCell="A6" activePane="bottomLeft" state="frozen"/>
      <selection pane="bottomLeft" activeCell="D7" sqref="D7"/>
    </sheetView>
  </sheetViews>
  <sheetFormatPr baseColWidth="10" defaultColWidth="0" defaultRowHeight="15"/>
  <cols>
    <col min="1" max="1" width="1.7109375" customWidth="1"/>
    <col min="2" max="2" width="40.42578125" customWidth="1"/>
    <col min="3" max="3" width="16.140625" customWidth="1"/>
    <col min="4" max="4" width="21.85546875" customWidth="1"/>
    <col min="5" max="5" width="23.28515625" customWidth="1"/>
    <col min="6" max="6" width="24" customWidth="1"/>
    <col min="7" max="7" width="24.42578125" customWidth="1"/>
    <col min="8" max="8" width="1.7109375" customWidth="1"/>
    <col min="9" max="9" width="21.42578125" bestFit="1" customWidth="1"/>
    <col min="10" max="16384" width="11.42578125" hidden="1"/>
  </cols>
  <sheetData>
    <row r="1" spans="2:9" ht="35.1" customHeight="1">
      <c r="B1" s="1079" t="s">
        <v>386</v>
      </c>
      <c r="C1" s="1092"/>
      <c r="D1" s="1092"/>
      <c r="E1" s="1092"/>
      <c r="F1" s="1092"/>
      <c r="G1" s="1092"/>
      <c r="H1" s="290"/>
      <c r="I1" s="464" t="s">
        <v>269</v>
      </c>
    </row>
    <row r="2" spans="2:9">
      <c r="G2" s="603" t="s">
        <v>314</v>
      </c>
    </row>
    <row r="3" spans="2:9">
      <c r="B3" s="237" t="s">
        <v>75</v>
      </c>
      <c r="C3" s="1342" t="str">
        <f>Mandantendaten!C3</f>
        <v>Max Mustermann</v>
      </c>
      <c r="D3" s="1343"/>
      <c r="E3" s="1343"/>
      <c r="F3" s="1343"/>
      <c r="G3" s="324">
        <f>Mandantendaten!C5</f>
        <v>44561</v>
      </c>
    </row>
    <row r="4" spans="2:9">
      <c r="B4" s="224"/>
      <c r="C4" s="224"/>
      <c r="D4" s="224"/>
      <c r="E4" s="225"/>
      <c r="F4" s="225"/>
      <c r="G4" s="225"/>
    </row>
    <row r="5" spans="2:9">
      <c r="B5" s="345" t="s">
        <v>218</v>
      </c>
      <c r="C5" s="342" t="s">
        <v>219</v>
      </c>
      <c r="D5" s="335" t="s">
        <v>240</v>
      </c>
      <c r="E5" s="335" t="s">
        <v>241</v>
      </c>
      <c r="F5" s="335" t="s">
        <v>242</v>
      </c>
      <c r="G5" s="334" t="s">
        <v>188</v>
      </c>
    </row>
    <row r="6" spans="2:9">
      <c r="B6" s="346"/>
      <c r="C6" s="346"/>
      <c r="D6" s="347"/>
      <c r="E6" s="347"/>
      <c r="F6" s="347"/>
      <c r="G6" s="347"/>
    </row>
    <row r="7" spans="2:9">
      <c r="B7" s="161" t="s">
        <v>220</v>
      </c>
      <c r="C7" s="17"/>
      <c r="D7" s="140"/>
      <c r="E7" s="339"/>
      <c r="F7" s="139"/>
      <c r="G7" s="73">
        <f>F7+E7+D7</f>
        <v>0</v>
      </c>
    </row>
    <row r="8" spans="2:9">
      <c r="B8" s="161" t="s">
        <v>221</v>
      </c>
      <c r="C8" s="17"/>
      <c r="D8" s="144"/>
      <c r="E8" s="340"/>
      <c r="F8" s="143"/>
      <c r="G8" s="73">
        <f>F8+E8+D8</f>
        <v>0</v>
      </c>
    </row>
    <row r="9" spans="2:9">
      <c r="B9" s="161" t="s">
        <v>222</v>
      </c>
      <c r="C9" s="17"/>
      <c r="D9" s="147"/>
      <c r="E9" s="341"/>
      <c r="F9" s="146"/>
      <c r="G9" s="73">
        <f>F9+E9+D9</f>
        <v>0</v>
      </c>
    </row>
    <row r="10" spans="2:9">
      <c r="B10" s="17"/>
      <c r="C10" s="17"/>
      <c r="D10" s="149"/>
      <c r="E10" s="149"/>
      <c r="F10" s="149"/>
      <c r="G10" s="73"/>
    </row>
    <row r="11" spans="2:9">
      <c r="B11" s="161" t="s">
        <v>223</v>
      </c>
      <c r="C11" s="529"/>
      <c r="D11" s="149"/>
      <c r="E11" s="149"/>
      <c r="F11" s="149"/>
      <c r="G11" s="151"/>
    </row>
    <row r="12" spans="2:9">
      <c r="B12" s="161" t="s">
        <v>224</v>
      </c>
      <c r="C12" s="530"/>
      <c r="D12" s="149"/>
      <c r="E12" s="149"/>
      <c r="F12" s="149"/>
      <c r="G12" s="154"/>
    </row>
    <row r="13" spans="2:9">
      <c r="B13" s="161" t="s">
        <v>225</v>
      </c>
      <c r="C13" s="530"/>
      <c r="D13" s="149"/>
      <c r="E13" s="149"/>
      <c r="F13" s="149"/>
      <c r="G13" s="154"/>
    </row>
    <row r="14" spans="2:9">
      <c r="B14" s="161" t="s">
        <v>226</v>
      </c>
      <c r="C14" s="530"/>
      <c r="D14" s="149"/>
      <c r="E14" s="149"/>
      <c r="F14" s="149"/>
      <c r="G14" s="154"/>
    </row>
    <row r="15" spans="2:9">
      <c r="B15" s="161" t="s">
        <v>227</v>
      </c>
      <c r="C15" s="530"/>
      <c r="D15" s="149"/>
      <c r="E15" s="149"/>
      <c r="F15" s="149"/>
      <c r="G15" s="154"/>
    </row>
    <row r="16" spans="2:9">
      <c r="B16" s="161" t="s">
        <v>228</v>
      </c>
      <c r="C16" s="531"/>
      <c r="D16" s="149"/>
      <c r="E16" s="149"/>
      <c r="F16" s="149"/>
      <c r="G16" s="157"/>
    </row>
    <row r="17" spans="2:7">
      <c r="B17" s="227"/>
      <c r="C17" s="227"/>
      <c r="D17" s="227"/>
      <c r="E17" s="234"/>
      <c r="F17" s="234"/>
      <c r="G17" s="226"/>
    </row>
    <row r="18" spans="2:7">
      <c r="B18" s="230" t="s">
        <v>120</v>
      </c>
      <c r="C18" s="230"/>
      <c r="D18" s="230"/>
      <c r="E18" s="230"/>
      <c r="F18" s="230"/>
      <c r="G18" s="332">
        <f>SUM(G7:G9)-SUM(G11:G16)</f>
        <v>0</v>
      </c>
    </row>
    <row r="19" spans="2:7">
      <c r="B19" s="351"/>
      <c r="C19" s="351"/>
      <c r="D19" s="351"/>
      <c r="E19" s="352"/>
      <c r="F19" s="352"/>
      <c r="G19" s="352"/>
    </row>
    <row r="20" spans="2:7">
      <c r="B20" s="345" t="s">
        <v>229</v>
      </c>
      <c r="C20" s="342" t="s">
        <v>219</v>
      </c>
      <c r="D20" s="335" t="s">
        <v>240</v>
      </c>
      <c r="E20" s="335" t="s">
        <v>241</v>
      </c>
      <c r="F20" s="335" t="s">
        <v>242</v>
      </c>
      <c r="G20" s="334" t="s">
        <v>188</v>
      </c>
    </row>
    <row r="21" spans="2:7">
      <c r="B21" s="353"/>
      <c r="C21" s="353"/>
      <c r="D21" s="354"/>
      <c r="E21" s="354"/>
      <c r="F21" s="354"/>
      <c r="G21" s="347"/>
    </row>
    <row r="22" spans="2:7">
      <c r="B22" s="161" t="s">
        <v>230</v>
      </c>
      <c r="C22" s="17"/>
      <c r="D22" s="348"/>
      <c r="E22" s="180"/>
      <c r="F22" s="181"/>
      <c r="G22" s="73">
        <f>F22+E22+D22</f>
        <v>0</v>
      </c>
    </row>
    <row r="23" spans="2:7">
      <c r="B23" s="161" t="s">
        <v>231</v>
      </c>
      <c r="C23" s="17"/>
      <c r="D23" s="349"/>
      <c r="E23" s="182"/>
      <c r="F23" s="183"/>
      <c r="G23" s="73">
        <f>F23+E23+D23</f>
        <v>0</v>
      </c>
    </row>
    <row r="24" spans="2:7">
      <c r="B24" s="161" t="s">
        <v>232</v>
      </c>
      <c r="C24" s="17"/>
      <c r="D24" s="355"/>
      <c r="E24" s="356"/>
      <c r="F24" s="357"/>
      <c r="G24" s="73">
        <f>F24+E24+D24</f>
        <v>0</v>
      </c>
    </row>
    <row r="25" spans="2:7">
      <c r="B25" s="161" t="s">
        <v>233</v>
      </c>
      <c r="C25" s="17"/>
      <c r="D25" s="350"/>
      <c r="E25" s="184"/>
      <c r="F25" s="185"/>
      <c r="G25" s="73">
        <f>F25+E25+D25</f>
        <v>0</v>
      </c>
    </row>
    <row r="26" spans="2:7">
      <c r="B26" s="17"/>
      <c r="C26" s="17"/>
      <c r="D26" s="149"/>
      <c r="E26" s="149"/>
      <c r="F26" s="149"/>
      <c r="G26" s="73"/>
    </row>
    <row r="27" spans="2:7">
      <c r="B27" s="161" t="s">
        <v>234</v>
      </c>
      <c r="C27" s="358"/>
      <c r="D27" s="149"/>
      <c r="E27" s="149"/>
      <c r="F27" s="149"/>
      <c r="G27" s="359"/>
    </row>
    <row r="28" spans="2:7">
      <c r="B28" s="227"/>
      <c r="C28" s="227"/>
      <c r="D28" s="227"/>
      <c r="E28" s="234"/>
      <c r="F28" s="234"/>
      <c r="G28" s="226"/>
    </row>
    <row r="29" spans="2:7">
      <c r="B29" s="230" t="s">
        <v>120</v>
      </c>
      <c r="C29" s="230"/>
      <c r="D29" s="230"/>
      <c r="E29" s="230"/>
      <c r="F29" s="230"/>
      <c r="G29" s="332">
        <f>SUM(G22:G25)-G27</f>
        <v>0</v>
      </c>
    </row>
    <row r="30" spans="2:7">
      <c r="B30" s="351"/>
      <c r="C30" s="351"/>
      <c r="D30" s="351"/>
      <c r="E30" s="352"/>
      <c r="F30" s="352"/>
      <c r="G30" s="352"/>
    </row>
    <row r="31" spans="2:7">
      <c r="B31" s="345" t="s">
        <v>235</v>
      </c>
      <c r="C31" s="342" t="s">
        <v>219</v>
      </c>
      <c r="D31" s="335" t="s">
        <v>240</v>
      </c>
      <c r="E31" s="335" t="s">
        <v>241</v>
      </c>
      <c r="F31" s="335" t="s">
        <v>242</v>
      </c>
      <c r="G31" s="334" t="s">
        <v>188</v>
      </c>
    </row>
    <row r="32" spans="2:7">
      <c r="B32" s="353"/>
      <c r="C32" s="353"/>
      <c r="D32" s="354"/>
      <c r="E32" s="354"/>
      <c r="F32" s="354"/>
      <c r="G32" s="347"/>
    </row>
    <row r="33" spans="2:7">
      <c r="B33" s="161" t="s">
        <v>236</v>
      </c>
      <c r="C33" s="17"/>
      <c r="D33" s="348"/>
      <c r="E33" s="180"/>
      <c r="F33" s="181"/>
      <c r="G33" s="73">
        <f>F33+E33+D33</f>
        <v>0</v>
      </c>
    </row>
    <row r="34" spans="2:7">
      <c r="B34" s="161" t="s">
        <v>237</v>
      </c>
      <c r="C34" s="17"/>
      <c r="D34" s="349"/>
      <c r="E34" s="182"/>
      <c r="F34" s="183"/>
      <c r="G34" s="73">
        <f>F34+E34+D34</f>
        <v>0</v>
      </c>
    </row>
    <row r="35" spans="2:7">
      <c r="B35" s="161" t="s">
        <v>238</v>
      </c>
      <c r="C35" s="17"/>
      <c r="D35" s="350"/>
      <c r="E35" s="184"/>
      <c r="F35" s="185"/>
      <c r="G35" s="73">
        <f>F35+E35+D35</f>
        <v>0</v>
      </c>
    </row>
    <row r="36" spans="2:7">
      <c r="B36" s="17"/>
      <c r="C36" s="17"/>
      <c r="D36" s="149"/>
      <c r="E36" s="149"/>
      <c r="F36" s="149"/>
      <c r="G36" s="73"/>
    </row>
    <row r="37" spans="2:7">
      <c r="B37" s="161" t="s">
        <v>239</v>
      </c>
      <c r="C37" s="358"/>
      <c r="D37" s="149"/>
      <c r="E37" s="149"/>
      <c r="F37" s="149"/>
      <c r="G37" s="359"/>
    </row>
    <row r="38" spans="2:7">
      <c r="B38" s="227"/>
      <c r="C38" s="227"/>
      <c r="D38" s="227"/>
      <c r="E38" s="234"/>
      <c r="F38" s="234"/>
      <c r="G38" s="226"/>
    </row>
    <row r="39" spans="2:7">
      <c r="B39" s="230" t="s">
        <v>120</v>
      </c>
      <c r="C39" s="230"/>
      <c r="D39" s="230"/>
      <c r="E39" s="230"/>
      <c r="F39" s="230"/>
      <c r="G39" s="332">
        <f>SUM(G33:G35)-G37</f>
        <v>0</v>
      </c>
    </row>
  </sheetData>
  <sheetProtection algorithmName="SHA-512" hashValue="AQDFuGt+JG/EiMj3/Yav/kRXAULc0q+hCiwHogVvH4HedNO04Pxmr8xyczObskOrqoeExFghuNmedciE6LYSpA==" saltValue="E0A0AaBiN9hPcu+GETLqsw==" spinCount="100000" sheet="1" objects="1" scenarios="1"/>
  <mergeCells count="2">
    <mergeCell ref="B1:G1"/>
    <mergeCell ref="C3:F3"/>
  </mergeCells>
  <hyperlinks>
    <hyperlink ref="I1" location="Inhaltsverzeichnis!A1" display="zum Inhaltsverzeichnis" xr:uid="{0D19128B-1062-4462-84AD-409648A3DBC9}"/>
  </hyperlinks>
  <pageMargins left="0.7" right="0.7" top="0.78740157499999996" bottom="0.78740157499999996" header="0.3" footer="0.3"/>
  <pageSetup paperSize="9" scale="82" orientation="landscape" r:id="rId1"/>
  <colBreaks count="1" manualBreakCount="1">
    <brk id="8" max="38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4786-A3FE-41FC-918C-9B651CFB6EA8}">
  <sheetPr>
    <pageSetUpPr fitToPage="1"/>
  </sheetPr>
  <dimension ref="A1:K72"/>
  <sheetViews>
    <sheetView showGridLines="0" workbookViewId="0">
      <selection activeCell="B2" sqref="B2:I2"/>
    </sheetView>
  </sheetViews>
  <sheetFormatPr baseColWidth="10" defaultColWidth="0" defaultRowHeight="15" zeroHeight="1"/>
  <cols>
    <col min="1" max="1" width="1.7109375" customWidth="1"/>
    <col min="2" max="2" width="27.85546875" customWidth="1"/>
    <col min="3" max="3" width="17.5703125" customWidth="1"/>
    <col min="4" max="4" width="11.5703125" customWidth="1"/>
    <col min="5" max="5" width="14.7109375" customWidth="1"/>
    <col min="6" max="6" width="17.42578125" customWidth="1"/>
    <col min="7" max="7" width="15.28515625" customWidth="1"/>
    <col min="8" max="8" width="14.42578125" customWidth="1"/>
    <col min="9" max="9" width="19.42578125" customWidth="1"/>
    <col min="10" max="10" width="1.7109375" customWidth="1"/>
    <col min="11" max="11" width="21.42578125" bestFit="1" customWidth="1"/>
    <col min="12" max="16384" width="11.42578125" hidden="1"/>
  </cols>
  <sheetData>
    <row r="1" spans="2:11" ht="35.1" customHeight="1">
      <c r="B1" s="1079" t="s">
        <v>387</v>
      </c>
      <c r="C1" s="1092"/>
      <c r="D1" s="1092"/>
      <c r="E1" s="1092"/>
      <c r="F1" s="1092"/>
      <c r="G1" s="1092"/>
      <c r="H1" s="1092"/>
      <c r="I1" s="1092"/>
      <c r="K1" s="464" t="s">
        <v>269</v>
      </c>
    </row>
    <row r="2" spans="2:11" s="616" customFormat="1">
      <c r="B2" s="1166" t="s">
        <v>361</v>
      </c>
      <c r="C2" s="1166"/>
      <c r="D2" s="1166"/>
      <c r="E2" s="1166"/>
      <c r="F2" s="1166"/>
      <c r="G2" s="1166"/>
      <c r="H2" s="1166"/>
      <c r="I2" s="1166"/>
      <c r="K2" s="464"/>
    </row>
    <row r="3" spans="2:11">
      <c r="I3" s="603" t="s">
        <v>314</v>
      </c>
    </row>
    <row r="4" spans="2:11">
      <c r="B4" s="237" t="s">
        <v>75</v>
      </c>
      <c r="C4" s="1342" t="str">
        <f>Mandantendaten!C3</f>
        <v>Max Mustermann</v>
      </c>
      <c r="D4" s="1343"/>
      <c r="E4" s="1343"/>
      <c r="F4" s="1343"/>
      <c r="G4" s="1343"/>
      <c r="H4" s="1353">
        <f>Mandantendaten!C5</f>
        <v>44561</v>
      </c>
      <c r="I4" s="1353"/>
    </row>
    <row r="5" spans="2:11">
      <c r="B5" s="224"/>
      <c r="C5" s="224"/>
      <c r="D5" s="224"/>
      <c r="E5" s="225"/>
      <c r="F5" s="225"/>
      <c r="G5" s="225"/>
      <c r="H5" s="224"/>
      <c r="I5" s="224"/>
    </row>
    <row r="6" spans="2:11">
      <c r="B6" s="365" t="s">
        <v>243</v>
      </c>
      <c r="C6" s="365" t="s">
        <v>244</v>
      </c>
      <c r="D6" s="366" t="s">
        <v>245</v>
      </c>
      <c r="E6" s="366" t="s">
        <v>246</v>
      </c>
      <c r="F6" s="366" t="s">
        <v>247</v>
      </c>
      <c r="G6" s="366" t="s">
        <v>248</v>
      </c>
      <c r="H6" s="366" t="s">
        <v>188</v>
      </c>
      <c r="I6" s="366" t="s">
        <v>360</v>
      </c>
    </row>
    <row r="7" spans="2:11">
      <c r="B7" s="360"/>
      <c r="C7" s="353"/>
      <c r="D7" s="354"/>
      <c r="E7" s="354"/>
      <c r="F7" s="354"/>
      <c r="G7" s="354"/>
      <c r="H7" s="347"/>
      <c r="I7" s="232"/>
    </row>
    <row r="8" spans="2:11">
      <c r="B8" s="361" t="s">
        <v>249</v>
      </c>
      <c r="C8" s="362">
        <f>SUMIF(C18:C67,1,D18:D67)</f>
        <v>1</v>
      </c>
      <c r="D8" s="362">
        <f>SUMIF(C18:C67,2,D18:D67)</f>
        <v>1</v>
      </c>
      <c r="E8" s="362">
        <f>SUMIF(C18:C67,3,D18:D67)</f>
        <v>0</v>
      </c>
      <c r="F8" s="362">
        <f>SUMIF(C18:C67,4,D18:D67)</f>
        <v>0</v>
      </c>
      <c r="G8" s="362">
        <f>SUMIF(C18:C67,5,D18:D67)</f>
        <v>0</v>
      </c>
      <c r="H8" s="362">
        <f>SUM(C8:G8)</f>
        <v>2</v>
      </c>
      <c r="I8" s="362">
        <f>D8+E8+G8</f>
        <v>1</v>
      </c>
    </row>
    <row r="9" spans="2:11">
      <c r="B9" s="361" t="s">
        <v>250</v>
      </c>
      <c r="C9" s="362">
        <f>SUMIF($C$18:$C$67,1,$E$18:$E$67)</f>
        <v>1</v>
      </c>
      <c r="D9" s="362">
        <f>SUMIF($C$18:$C$67,2,$E$18:$E$67)</f>
        <v>1</v>
      </c>
      <c r="E9" s="362">
        <f>SUMIF($C$18:$C$67,3,$E$18:$E$67)</f>
        <v>0</v>
      </c>
      <c r="F9" s="362">
        <f>SUMIF($C$18:$C$67,4,$E$18:$E$67)</f>
        <v>0</v>
      </c>
      <c r="G9" s="362">
        <f>SUMIF($C$18:$C$67,5,$E$18:$E$67)</f>
        <v>0</v>
      </c>
      <c r="H9" s="362">
        <f t="shared" ref="H9:H11" si="0">SUM(C9:G9)</f>
        <v>2</v>
      </c>
      <c r="I9" s="362">
        <f t="shared" ref="I9:I11" si="1">D9+E9+G9</f>
        <v>1</v>
      </c>
    </row>
    <row r="10" spans="2:11">
      <c r="B10" s="361" t="s">
        <v>251</v>
      </c>
      <c r="C10" s="362">
        <f>SUMIF($C$18:$C$67,1,$F$18:$F$67)</f>
        <v>1</v>
      </c>
      <c r="D10" s="362">
        <f>SUMIF($C$18:$C$67,2,$F$18:$F$67)</f>
        <v>1</v>
      </c>
      <c r="E10" s="362">
        <f>SUMIF($C$18:$C$67,3,$F$18:$F$67)</f>
        <v>0</v>
      </c>
      <c r="F10" s="362">
        <f>SUMIF($C$18:$C$67,4,$F$18:$F$67)</f>
        <v>0</v>
      </c>
      <c r="G10" s="362">
        <f>SUMIF($C$18:$C$67,5,$F$18:$F$67)</f>
        <v>0</v>
      </c>
      <c r="H10" s="362">
        <f t="shared" si="0"/>
        <v>2</v>
      </c>
      <c r="I10" s="362">
        <f t="shared" si="1"/>
        <v>1</v>
      </c>
    </row>
    <row r="11" spans="2:11">
      <c r="B11" s="361" t="s">
        <v>252</v>
      </c>
      <c r="C11" s="362">
        <f>SUMIF($C$18:$C$67,1,$G$18:$G$67)</f>
        <v>1</v>
      </c>
      <c r="D11" s="362">
        <f>SUMIF($C$18:$C$67,2,$G$18:$G$67)</f>
        <v>1</v>
      </c>
      <c r="E11" s="362">
        <f>SUMIF($C$18:$C$67,3,$G$18:$G$67)</f>
        <v>0</v>
      </c>
      <c r="F11" s="362">
        <f>SUMIF($C$18:$C$67,4,$G$18:$G$67)</f>
        <v>0</v>
      </c>
      <c r="G11" s="362">
        <f>SUMIF($C$18:$C$67,5,$G$18:$G$67)</f>
        <v>0</v>
      </c>
      <c r="H11" s="362">
        <f t="shared" si="0"/>
        <v>2</v>
      </c>
      <c r="I11" s="362">
        <f t="shared" si="1"/>
        <v>1</v>
      </c>
    </row>
    <row r="12" spans="2:11">
      <c r="B12" s="227"/>
      <c r="C12" s="227"/>
      <c r="D12" s="227"/>
      <c r="E12" s="234"/>
      <c r="F12" s="234"/>
      <c r="G12" s="234"/>
      <c r="H12" s="232"/>
      <c r="I12" s="232"/>
    </row>
    <row r="13" spans="2:11">
      <c r="B13" s="230" t="s">
        <v>253</v>
      </c>
      <c r="C13" s="363">
        <f t="shared" ref="C13:I13" si="2">SUM(C8:C12)/4</f>
        <v>1</v>
      </c>
      <c r="D13" s="363">
        <f t="shared" si="2"/>
        <v>1</v>
      </c>
      <c r="E13" s="363">
        <f t="shared" si="2"/>
        <v>0</v>
      </c>
      <c r="F13" s="363">
        <f t="shared" si="2"/>
        <v>0</v>
      </c>
      <c r="G13" s="363">
        <f t="shared" si="2"/>
        <v>0</v>
      </c>
      <c r="H13" s="363">
        <f t="shared" si="2"/>
        <v>2</v>
      </c>
      <c r="I13" s="363">
        <f t="shared" si="2"/>
        <v>1</v>
      </c>
    </row>
    <row r="14" spans="2:11">
      <c r="B14" s="227"/>
      <c r="C14" s="227"/>
      <c r="D14" s="227"/>
      <c r="E14" s="234"/>
      <c r="F14" s="234"/>
      <c r="G14" s="234"/>
      <c r="H14" s="232"/>
      <c r="I14" s="232"/>
    </row>
    <row r="15" spans="2:11">
      <c r="C15" s="227"/>
      <c r="D15" s="227" t="s">
        <v>293</v>
      </c>
      <c r="E15" s="234"/>
      <c r="F15" s="234"/>
      <c r="G15" s="234"/>
      <c r="H15" s="232"/>
      <c r="I15" s="232"/>
    </row>
    <row r="16" spans="2:11" ht="105">
      <c r="B16" s="532" t="s">
        <v>290</v>
      </c>
      <c r="C16" s="533" t="s">
        <v>292</v>
      </c>
      <c r="D16" s="534" t="str">
        <f>B8</f>
        <v>31.03.</v>
      </c>
      <c r="E16" s="534" t="str">
        <f>B9</f>
        <v>30.06.</v>
      </c>
      <c r="F16" s="534" t="str">
        <f>B10</f>
        <v>30.09.</v>
      </c>
      <c r="G16" s="534" t="str">
        <f>B11</f>
        <v>31.12.</v>
      </c>
      <c r="H16" s="232"/>
      <c r="I16" s="232"/>
    </row>
    <row r="17" spans="2:9">
      <c r="B17" s="227"/>
      <c r="C17" s="227"/>
      <c r="D17" s="227"/>
      <c r="E17" s="234"/>
      <c r="F17" s="234"/>
      <c r="G17" s="234"/>
      <c r="H17" s="232"/>
      <c r="I17" s="232"/>
    </row>
    <row r="18" spans="2:9">
      <c r="B18" s="392" t="s">
        <v>291</v>
      </c>
      <c r="C18" s="393">
        <v>2</v>
      </c>
      <c r="D18" s="393">
        <v>1</v>
      </c>
      <c r="E18" s="393">
        <v>1</v>
      </c>
      <c r="F18" s="393">
        <v>1</v>
      </c>
      <c r="G18" s="394">
        <v>1</v>
      </c>
      <c r="H18" s="364" t="str">
        <f>IF(C18&gt;5,"Falsche Kennziffer!!!","")</f>
        <v/>
      </c>
      <c r="I18" s="232"/>
    </row>
    <row r="19" spans="2:9">
      <c r="B19" s="395"/>
      <c r="C19" s="396">
        <v>1</v>
      </c>
      <c r="D19" s="396">
        <v>1</v>
      </c>
      <c r="E19" s="396"/>
      <c r="F19" s="396">
        <v>1</v>
      </c>
      <c r="G19" s="397"/>
      <c r="H19" s="364" t="str">
        <f t="shared" ref="H19:H68" si="3">IF(C19&gt;5,"Falsche Kennziffer!!!","")</f>
        <v/>
      </c>
      <c r="I19" s="232"/>
    </row>
    <row r="20" spans="2:9">
      <c r="B20" s="395"/>
      <c r="C20" s="396">
        <v>1</v>
      </c>
      <c r="D20" s="396"/>
      <c r="E20" s="396">
        <v>1</v>
      </c>
      <c r="F20" s="396"/>
      <c r="G20" s="397">
        <v>1</v>
      </c>
      <c r="H20" s="364" t="str">
        <f t="shared" si="3"/>
        <v/>
      </c>
      <c r="I20" s="232"/>
    </row>
    <row r="21" spans="2:9">
      <c r="B21" s="395"/>
      <c r="C21" s="396"/>
      <c r="D21" s="396"/>
      <c r="E21" s="396"/>
      <c r="F21" s="396"/>
      <c r="G21" s="397"/>
      <c r="H21" s="364" t="str">
        <f t="shared" si="3"/>
        <v/>
      </c>
      <c r="I21" s="232"/>
    </row>
    <row r="22" spans="2:9">
      <c r="B22" s="395"/>
      <c r="C22" s="396"/>
      <c r="D22" s="396"/>
      <c r="E22" s="396"/>
      <c r="F22" s="396"/>
      <c r="G22" s="397"/>
      <c r="H22" s="364" t="str">
        <f t="shared" si="3"/>
        <v/>
      </c>
      <c r="I22" s="232"/>
    </row>
    <row r="23" spans="2:9">
      <c r="B23" s="395"/>
      <c r="C23" s="396"/>
      <c r="D23" s="396"/>
      <c r="E23" s="396"/>
      <c r="F23" s="396"/>
      <c r="G23" s="397"/>
      <c r="H23" s="364" t="str">
        <f t="shared" si="3"/>
        <v/>
      </c>
      <c r="I23" s="232"/>
    </row>
    <row r="24" spans="2:9">
      <c r="B24" s="395"/>
      <c r="C24" s="396"/>
      <c r="D24" s="396"/>
      <c r="E24" s="396"/>
      <c r="F24" s="396"/>
      <c r="G24" s="397"/>
      <c r="H24" s="364" t="str">
        <f t="shared" si="3"/>
        <v/>
      </c>
      <c r="I24" s="232"/>
    </row>
    <row r="25" spans="2:9">
      <c r="B25" s="395"/>
      <c r="C25" s="396"/>
      <c r="D25" s="396"/>
      <c r="E25" s="396"/>
      <c r="F25" s="396"/>
      <c r="G25" s="397"/>
      <c r="H25" s="364" t="str">
        <f t="shared" si="3"/>
        <v/>
      </c>
      <c r="I25" s="232"/>
    </row>
    <row r="26" spans="2:9">
      <c r="B26" s="395"/>
      <c r="C26" s="396"/>
      <c r="D26" s="396"/>
      <c r="E26" s="396"/>
      <c r="F26" s="396"/>
      <c r="G26" s="397"/>
      <c r="H26" s="364" t="str">
        <f t="shared" si="3"/>
        <v/>
      </c>
      <c r="I26" s="232"/>
    </row>
    <row r="27" spans="2:9">
      <c r="B27" s="395"/>
      <c r="C27" s="396"/>
      <c r="D27" s="396"/>
      <c r="E27" s="396"/>
      <c r="F27" s="396"/>
      <c r="G27" s="397"/>
      <c r="H27" s="364" t="str">
        <f t="shared" si="3"/>
        <v/>
      </c>
      <c r="I27" s="232"/>
    </row>
    <row r="28" spans="2:9">
      <c r="B28" s="395"/>
      <c r="C28" s="396"/>
      <c r="D28" s="396"/>
      <c r="E28" s="396"/>
      <c r="F28" s="396"/>
      <c r="G28" s="397"/>
      <c r="H28" s="364" t="str">
        <f t="shared" si="3"/>
        <v/>
      </c>
      <c r="I28" s="232"/>
    </row>
    <row r="29" spans="2:9">
      <c r="B29" s="395"/>
      <c r="C29" s="396"/>
      <c r="D29" s="396"/>
      <c r="E29" s="396"/>
      <c r="F29" s="396"/>
      <c r="G29" s="397"/>
      <c r="H29" s="364" t="str">
        <f t="shared" si="3"/>
        <v/>
      </c>
      <c r="I29" s="232"/>
    </row>
    <row r="30" spans="2:9">
      <c r="B30" s="395"/>
      <c r="C30" s="396"/>
      <c r="D30" s="396"/>
      <c r="E30" s="396"/>
      <c r="F30" s="396"/>
      <c r="G30" s="397"/>
      <c r="H30" s="364" t="str">
        <f t="shared" si="3"/>
        <v/>
      </c>
      <c r="I30" s="232"/>
    </row>
    <row r="31" spans="2:9">
      <c r="B31" s="395"/>
      <c r="C31" s="396"/>
      <c r="D31" s="396"/>
      <c r="E31" s="396"/>
      <c r="F31" s="396"/>
      <c r="G31" s="397"/>
      <c r="H31" s="364" t="str">
        <f t="shared" si="3"/>
        <v/>
      </c>
      <c r="I31" s="232"/>
    </row>
    <row r="32" spans="2:9">
      <c r="B32" s="395"/>
      <c r="C32" s="396"/>
      <c r="D32" s="396"/>
      <c r="E32" s="396"/>
      <c r="F32" s="396"/>
      <c r="G32" s="397"/>
      <c r="H32" s="364" t="str">
        <f t="shared" si="3"/>
        <v/>
      </c>
      <c r="I32" s="232"/>
    </row>
    <row r="33" spans="2:9">
      <c r="B33" s="395"/>
      <c r="C33" s="396"/>
      <c r="D33" s="396"/>
      <c r="E33" s="396"/>
      <c r="F33" s="396"/>
      <c r="G33" s="397"/>
      <c r="H33" s="364" t="str">
        <f t="shared" si="3"/>
        <v/>
      </c>
      <c r="I33" s="232"/>
    </row>
    <row r="34" spans="2:9">
      <c r="B34" s="395"/>
      <c r="C34" s="396"/>
      <c r="D34" s="396"/>
      <c r="E34" s="396"/>
      <c r="F34" s="396"/>
      <c r="G34" s="397"/>
      <c r="H34" s="364" t="str">
        <f t="shared" si="3"/>
        <v/>
      </c>
      <c r="I34" s="232"/>
    </row>
    <row r="35" spans="2:9">
      <c r="B35" s="395"/>
      <c r="C35" s="396"/>
      <c r="D35" s="396"/>
      <c r="E35" s="396"/>
      <c r="F35" s="396"/>
      <c r="G35" s="397"/>
      <c r="H35" s="364" t="str">
        <f t="shared" si="3"/>
        <v/>
      </c>
      <c r="I35" s="232"/>
    </row>
    <row r="36" spans="2:9">
      <c r="B36" s="395"/>
      <c r="C36" s="396"/>
      <c r="D36" s="396"/>
      <c r="E36" s="396"/>
      <c r="F36" s="396"/>
      <c r="G36" s="397"/>
      <c r="H36" s="364" t="str">
        <f t="shared" si="3"/>
        <v/>
      </c>
      <c r="I36" s="232"/>
    </row>
    <row r="37" spans="2:9">
      <c r="B37" s="395"/>
      <c r="C37" s="396"/>
      <c r="D37" s="396"/>
      <c r="E37" s="396"/>
      <c r="F37" s="396"/>
      <c r="G37" s="397"/>
      <c r="H37" s="364" t="str">
        <f t="shared" si="3"/>
        <v/>
      </c>
      <c r="I37" s="232"/>
    </row>
    <row r="38" spans="2:9">
      <c r="B38" s="395"/>
      <c r="C38" s="396"/>
      <c r="D38" s="396"/>
      <c r="E38" s="396"/>
      <c r="F38" s="396"/>
      <c r="G38" s="397"/>
      <c r="H38" s="364" t="str">
        <f t="shared" si="3"/>
        <v/>
      </c>
      <c r="I38" s="232"/>
    </row>
    <row r="39" spans="2:9">
      <c r="B39" s="395"/>
      <c r="C39" s="396"/>
      <c r="D39" s="396"/>
      <c r="E39" s="396"/>
      <c r="F39" s="396"/>
      <c r="G39" s="397"/>
      <c r="H39" s="364" t="str">
        <f t="shared" si="3"/>
        <v/>
      </c>
      <c r="I39" s="232"/>
    </row>
    <row r="40" spans="2:9">
      <c r="B40" s="395"/>
      <c r="C40" s="396"/>
      <c r="D40" s="396"/>
      <c r="E40" s="396"/>
      <c r="F40" s="396"/>
      <c r="G40" s="397"/>
      <c r="H40" s="364" t="str">
        <f t="shared" si="3"/>
        <v/>
      </c>
      <c r="I40" s="232"/>
    </row>
    <row r="41" spans="2:9">
      <c r="B41" s="395"/>
      <c r="C41" s="396"/>
      <c r="D41" s="396"/>
      <c r="E41" s="396"/>
      <c r="F41" s="396"/>
      <c r="G41" s="397"/>
      <c r="H41" s="364" t="str">
        <f t="shared" si="3"/>
        <v/>
      </c>
      <c r="I41" s="232"/>
    </row>
    <row r="42" spans="2:9">
      <c r="B42" s="395"/>
      <c r="C42" s="396"/>
      <c r="D42" s="396"/>
      <c r="E42" s="396"/>
      <c r="F42" s="396"/>
      <c r="G42" s="397"/>
      <c r="H42" s="364" t="str">
        <f t="shared" si="3"/>
        <v/>
      </c>
      <c r="I42" s="232"/>
    </row>
    <row r="43" spans="2:9">
      <c r="B43" s="395"/>
      <c r="C43" s="396"/>
      <c r="D43" s="396"/>
      <c r="E43" s="396"/>
      <c r="F43" s="396"/>
      <c r="G43" s="397"/>
      <c r="H43" s="364" t="str">
        <f t="shared" si="3"/>
        <v/>
      </c>
      <c r="I43" s="232"/>
    </row>
    <row r="44" spans="2:9">
      <c r="B44" s="395"/>
      <c r="C44" s="396"/>
      <c r="D44" s="396"/>
      <c r="E44" s="396"/>
      <c r="F44" s="396"/>
      <c r="G44" s="397"/>
      <c r="H44" s="364" t="str">
        <f t="shared" si="3"/>
        <v/>
      </c>
      <c r="I44" s="232"/>
    </row>
    <row r="45" spans="2:9">
      <c r="B45" s="395"/>
      <c r="C45" s="396"/>
      <c r="D45" s="396"/>
      <c r="E45" s="396"/>
      <c r="F45" s="396"/>
      <c r="G45" s="397"/>
      <c r="H45" s="364" t="str">
        <f t="shared" si="3"/>
        <v/>
      </c>
      <c r="I45" s="232"/>
    </row>
    <row r="46" spans="2:9">
      <c r="B46" s="395"/>
      <c r="C46" s="396"/>
      <c r="D46" s="396"/>
      <c r="E46" s="396"/>
      <c r="F46" s="396"/>
      <c r="G46" s="397"/>
      <c r="H46" s="364" t="str">
        <f t="shared" si="3"/>
        <v/>
      </c>
      <c r="I46" s="232"/>
    </row>
    <row r="47" spans="2:9">
      <c r="B47" s="395"/>
      <c r="C47" s="396"/>
      <c r="D47" s="396"/>
      <c r="E47" s="396"/>
      <c r="F47" s="396"/>
      <c r="G47" s="397"/>
      <c r="H47" s="364" t="str">
        <f t="shared" si="3"/>
        <v/>
      </c>
      <c r="I47" s="232"/>
    </row>
    <row r="48" spans="2:9">
      <c r="B48" s="395"/>
      <c r="C48" s="396"/>
      <c r="D48" s="396"/>
      <c r="E48" s="396"/>
      <c r="F48" s="396"/>
      <c r="G48" s="397"/>
      <c r="H48" s="364" t="str">
        <f t="shared" si="3"/>
        <v/>
      </c>
      <c r="I48" s="232"/>
    </row>
    <row r="49" spans="2:9">
      <c r="B49" s="395"/>
      <c r="C49" s="396"/>
      <c r="D49" s="396"/>
      <c r="E49" s="396"/>
      <c r="F49" s="396"/>
      <c r="G49" s="397"/>
      <c r="H49" s="364" t="str">
        <f t="shared" si="3"/>
        <v/>
      </c>
      <c r="I49" s="232"/>
    </row>
    <row r="50" spans="2:9">
      <c r="B50" s="395"/>
      <c r="C50" s="396"/>
      <c r="D50" s="396"/>
      <c r="E50" s="396"/>
      <c r="F50" s="396"/>
      <c r="G50" s="397"/>
      <c r="H50" s="364" t="str">
        <f t="shared" si="3"/>
        <v/>
      </c>
      <c r="I50" s="232"/>
    </row>
    <row r="51" spans="2:9">
      <c r="B51" s="395"/>
      <c r="C51" s="396"/>
      <c r="D51" s="396"/>
      <c r="E51" s="396"/>
      <c r="F51" s="396"/>
      <c r="G51" s="397"/>
      <c r="H51" s="364" t="str">
        <f t="shared" si="3"/>
        <v/>
      </c>
      <c r="I51" s="232"/>
    </row>
    <row r="52" spans="2:9">
      <c r="B52" s="395"/>
      <c r="C52" s="396"/>
      <c r="D52" s="396"/>
      <c r="E52" s="396"/>
      <c r="F52" s="396"/>
      <c r="G52" s="397"/>
      <c r="H52" s="364" t="str">
        <f t="shared" si="3"/>
        <v/>
      </c>
      <c r="I52" s="232"/>
    </row>
    <row r="53" spans="2:9">
      <c r="B53" s="395"/>
      <c r="C53" s="396"/>
      <c r="D53" s="396"/>
      <c r="E53" s="396"/>
      <c r="F53" s="396"/>
      <c r="G53" s="397"/>
      <c r="H53" s="364" t="str">
        <f t="shared" si="3"/>
        <v/>
      </c>
      <c r="I53" s="232"/>
    </row>
    <row r="54" spans="2:9">
      <c r="B54" s="395"/>
      <c r="C54" s="396"/>
      <c r="D54" s="396"/>
      <c r="E54" s="396"/>
      <c r="F54" s="396"/>
      <c r="G54" s="397"/>
      <c r="H54" s="364" t="str">
        <f t="shared" si="3"/>
        <v/>
      </c>
      <c r="I54" s="232"/>
    </row>
    <row r="55" spans="2:9">
      <c r="B55" s="395"/>
      <c r="C55" s="396"/>
      <c r="D55" s="396"/>
      <c r="E55" s="396"/>
      <c r="F55" s="396"/>
      <c r="G55" s="397"/>
      <c r="H55" s="364" t="str">
        <f t="shared" si="3"/>
        <v/>
      </c>
      <c r="I55" s="232"/>
    </row>
    <row r="56" spans="2:9">
      <c r="B56" s="395"/>
      <c r="C56" s="396"/>
      <c r="D56" s="396"/>
      <c r="E56" s="396"/>
      <c r="F56" s="396"/>
      <c r="G56" s="397"/>
      <c r="H56" s="364" t="str">
        <f t="shared" si="3"/>
        <v/>
      </c>
      <c r="I56" s="232"/>
    </row>
    <row r="57" spans="2:9">
      <c r="B57" s="395"/>
      <c r="C57" s="396"/>
      <c r="D57" s="396"/>
      <c r="E57" s="396"/>
      <c r="F57" s="396"/>
      <c r="G57" s="397"/>
      <c r="H57" s="364" t="str">
        <f t="shared" si="3"/>
        <v/>
      </c>
      <c r="I57" s="232"/>
    </row>
    <row r="58" spans="2:9">
      <c r="B58" s="395"/>
      <c r="C58" s="396"/>
      <c r="D58" s="396"/>
      <c r="E58" s="396"/>
      <c r="F58" s="396"/>
      <c r="G58" s="397"/>
      <c r="H58" s="364" t="str">
        <f t="shared" si="3"/>
        <v/>
      </c>
      <c r="I58" s="232"/>
    </row>
    <row r="59" spans="2:9">
      <c r="B59" s="395"/>
      <c r="C59" s="396"/>
      <c r="D59" s="396"/>
      <c r="E59" s="396"/>
      <c r="F59" s="396"/>
      <c r="G59" s="397"/>
      <c r="H59" s="364" t="str">
        <f t="shared" si="3"/>
        <v/>
      </c>
      <c r="I59" s="232"/>
    </row>
    <row r="60" spans="2:9">
      <c r="B60" s="395"/>
      <c r="C60" s="396"/>
      <c r="D60" s="396"/>
      <c r="E60" s="396"/>
      <c r="F60" s="396"/>
      <c r="G60" s="397"/>
      <c r="H60" s="364" t="str">
        <f t="shared" si="3"/>
        <v/>
      </c>
      <c r="I60" s="232"/>
    </row>
    <row r="61" spans="2:9">
      <c r="B61" s="395"/>
      <c r="C61" s="396"/>
      <c r="D61" s="396"/>
      <c r="E61" s="396"/>
      <c r="F61" s="396"/>
      <c r="G61" s="397"/>
      <c r="H61" s="364" t="str">
        <f t="shared" si="3"/>
        <v/>
      </c>
      <c r="I61" s="232"/>
    </row>
    <row r="62" spans="2:9">
      <c r="B62" s="395"/>
      <c r="C62" s="396"/>
      <c r="D62" s="396"/>
      <c r="E62" s="396"/>
      <c r="F62" s="396"/>
      <c r="G62" s="397"/>
      <c r="H62" s="364" t="str">
        <f t="shared" si="3"/>
        <v/>
      </c>
      <c r="I62" s="232"/>
    </row>
    <row r="63" spans="2:9">
      <c r="B63" s="395"/>
      <c r="C63" s="396"/>
      <c r="D63" s="396"/>
      <c r="E63" s="396"/>
      <c r="F63" s="396"/>
      <c r="G63" s="397"/>
      <c r="H63" s="364" t="str">
        <f t="shared" si="3"/>
        <v/>
      </c>
      <c r="I63" s="232"/>
    </row>
    <row r="64" spans="2:9">
      <c r="B64" s="395"/>
      <c r="C64" s="396"/>
      <c r="D64" s="396"/>
      <c r="E64" s="396"/>
      <c r="F64" s="396"/>
      <c r="G64" s="397"/>
      <c r="H64" s="364" t="str">
        <f t="shared" si="3"/>
        <v/>
      </c>
      <c r="I64" s="232"/>
    </row>
    <row r="65" spans="2:9">
      <c r="B65" s="395"/>
      <c r="C65" s="396"/>
      <c r="D65" s="396"/>
      <c r="E65" s="396"/>
      <c r="F65" s="396"/>
      <c r="G65" s="397"/>
      <c r="H65" s="364" t="str">
        <f t="shared" si="3"/>
        <v/>
      </c>
      <c r="I65" s="232"/>
    </row>
    <row r="66" spans="2:9">
      <c r="B66" s="395"/>
      <c r="C66" s="396"/>
      <c r="D66" s="396"/>
      <c r="E66" s="396"/>
      <c r="F66" s="396"/>
      <c r="G66" s="397"/>
      <c r="H66" s="364" t="str">
        <f t="shared" si="3"/>
        <v/>
      </c>
      <c r="I66" s="232"/>
    </row>
    <row r="67" spans="2:9">
      <c r="B67" s="395"/>
      <c r="C67" s="396"/>
      <c r="D67" s="396"/>
      <c r="E67" s="396"/>
      <c r="F67" s="396"/>
      <c r="G67" s="397"/>
      <c r="H67" s="364" t="str">
        <f t="shared" si="3"/>
        <v/>
      </c>
      <c r="I67" s="232"/>
    </row>
    <row r="68" spans="2:9">
      <c r="B68" s="398"/>
      <c r="C68" s="399"/>
      <c r="D68" s="399"/>
      <c r="E68" s="399"/>
      <c r="F68" s="399"/>
      <c r="G68" s="400"/>
      <c r="H68" s="364" t="str">
        <f t="shared" si="3"/>
        <v/>
      </c>
      <c r="I68" s="232"/>
    </row>
    <row r="69" spans="2:9"/>
    <row r="70" spans="2:9"/>
    <row r="71" spans="2:9"/>
    <row r="72" spans="2:9"/>
  </sheetData>
  <sheetProtection algorithmName="SHA-512" hashValue="YJcd1AhM7hgic5SOpi3Bbkj1IpA1NDLvbqPuBc2xbIw7wgQkwuIkyP7AolBjE/mX8uj6kPwbhvgvr2981M+xMQ==" saltValue="3MS3E8y1liEykm5ZBgZLAA==" spinCount="100000" sheet="1" objects="1" scenarios="1"/>
  <mergeCells count="4">
    <mergeCell ref="H4:I4"/>
    <mergeCell ref="B1:I1"/>
    <mergeCell ref="C4:G4"/>
    <mergeCell ref="B2:I2"/>
  </mergeCells>
  <hyperlinks>
    <hyperlink ref="K1" location="Inhaltsverzeichnis!A1" display="zum Inhaltsverzeichnis" xr:uid="{8F1AD731-9947-4B50-B5CA-D6D43F162E33}"/>
  </hyperlinks>
  <pageMargins left="0.7" right="0.7" top="0.78740157499999996" bottom="0.78740157499999996" header="0.3" footer="0.3"/>
  <pageSetup paperSize="9" scale="53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B6F3-BD02-4374-A191-5B1899A6D6D1}">
  <sheetPr>
    <pageSetUpPr fitToPage="1"/>
  </sheetPr>
  <dimension ref="A1:L31"/>
  <sheetViews>
    <sheetView showGridLines="0" zoomScaleNormal="100" workbookViewId="0">
      <pane ySplit="4" topLeftCell="A5" activePane="bottomLeft" state="frozen"/>
      <selection pane="bottomLeft" activeCell="B9" sqref="B9"/>
    </sheetView>
  </sheetViews>
  <sheetFormatPr baseColWidth="10" defaultColWidth="0" defaultRowHeight="15" zeroHeight="1"/>
  <cols>
    <col min="1" max="1" width="1.7109375" customWidth="1"/>
    <col min="2" max="2" width="29.85546875" customWidth="1"/>
    <col min="3" max="3" width="28.7109375" customWidth="1"/>
    <col min="4" max="4" width="25.140625" customWidth="1"/>
    <col min="5" max="5" width="18.28515625" customWidth="1"/>
    <col min="6" max="6" width="17.42578125" customWidth="1"/>
    <col min="7" max="7" width="14.7109375" customWidth="1"/>
    <col min="8" max="8" width="14" customWidth="1"/>
    <col min="9" max="9" width="26.140625" customWidth="1"/>
    <col min="10" max="10" width="1.7109375" customWidth="1"/>
    <col min="11" max="11" width="1.7109375" style="214" hidden="1" customWidth="1"/>
    <col min="12" max="12" width="21.42578125" hidden="1" customWidth="1"/>
    <col min="13" max="16384" width="11.42578125" hidden="1"/>
  </cols>
  <sheetData>
    <row r="1" spans="2:12" ht="35.1" customHeight="1">
      <c r="B1" s="1079" t="s">
        <v>388</v>
      </c>
      <c r="C1" s="1092"/>
      <c r="D1" s="1092"/>
      <c r="E1" s="1092"/>
      <c r="F1" s="1092"/>
      <c r="G1" s="1092"/>
      <c r="H1" s="1092"/>
      <c r="I1" s="1092"/>
      <c r="L1" s="464"/>
    </row>
    <row r="2" spans="2:12">
      <c r="I2" s="603" t="s">
        <v>314</v>
      </c>
    </row>
    <row r="3" spans="2:12">
      <c r="B3" s="237" t="s">
        <v>75</v>
      </c>
      <c r="C3" s="1354" t="str">
        <f>Mandantendaten!C3</f>
        <v>Max Mustermann</v>
      </c>
      <c r="D3" s="1354"/>
      <c r="E3" s="1354"/>
      <c r="F3" s="1354"/>
      <c r="G3" s="1354"/>
      <c r="H3" s="1354"/>
      <c r="I3" s="324">
        <f>Mandantendaten!C5</f>
        <v>44561</v>
      </c>
    </row>
    <row r="4" spans="2:12">
      <c r="B4" s="368"/>
      <c r="C4" s="369"/>
      <c r="D4" s="370"/>
      <c r="E4" s="368"/>
      <c r="F4" s="368"/>
      <c r="G4" s="368"/>
      <c r="H4" s="368"/>
      <c r="I4" s="547" t="s">
        <v>269</v>
      </c>
    </row>
    <row r="5" spans="2:12">
      <c r="B5" s="387" t="s">
        <v>254</v>
      </c>
      <c r="C5" s="388"/>
      <c r="D5" s="389"/>
      <c r="E5" s="390"/>
      <c r="F5" s="390"/>
      <c r="G5" s="390"/>
      <c r="H5" s="390"/>
      <c r="I5" s="391"/>
    </row>
    <row r="6" spans="2:12">
      <c r="B6" s="371"/>
      <c r="C6" s="372"/>
      <c r="D6" s="373"/>
      <c r="E6" s="371"/>
      <c r="F6" s="371"/>
      <c r="G6" s="371"/>
      <c r="H6" s="371"/>
      <c r="I6" s="374"/>
    </row>
    <row r="7" spans="2:12" ht="30">
      <c r="B7" s="548" t="s">
        <v>255</v>
      </c>
      <c r="C7" s="549" t="s">
        <v>256</v>
      </c>
      <c r="D7" s="550" t="s">
        <v>363</v>
      </c>
      <c r="E7" s="548" t="s">
        <v>257</v>
      </c>
      <c r="F7" s="548" t="s">
        <v>258</v>
      </c>
      <c r="G7" s="549" t="s">
        <v>259</v>
      </c>
      <c r="H7" s="549" t="s">
        <v>260</v>
      </c>
      <c r="I7" s="549" t="s">
        <v>261</v>
      </c>
    </row>
    <row r="8" spans="2:12">
      <c r="B8" s="368"/>
      <c r="C8" s="375"/>
      <c r="D8" s="377"/>
      <c r="E8" s="378"/>
      <c r="F8" s="378"/>
      <c r="G8" s="376"/>
      <c r="H8" s="376"/>
      <c r="I8" s="379"/>
    </row>
    <row r="9" spans="2:12">
      <c r="B9" s="410" t="s">
        <v>362</v>
      </c>
      <c r="C9" s="411"/>
      <c r="D9" s="401">
        <v>100</v>
      </c>
      <c r="E9" s="402">
        <v>43831</v>
      </c>
      <c r="F9" s="403">
        <v>44926</v>
      </c>
      <c r="G9" s="380">
        <f>1+DATEDIF(E9,F9,"m")</f>
        <v>36</v>
      </c>
      <c r="H9" s="380">
        <f>DATEDIF(I3,F9,"m")</f>
        <v>12</v>
      </c>
      <c r="I9" s="242">
        <f>IF(H9="","",H9*D9)</f>
        <v>1200</v>
      </c>
    </row>
    <row r="10" spans="2:12">
      <c r="B10" s="413"/>
      <c r="C10" s="414"/>
      <c r="D10" s="404"/>
      <c r="E10" s="405"/>
      <c r="F10" s="406"/>
      <c r="G10" s="412" t="str">
        <f>IF(OR(B10="",F10="ub"),"",IF(#REF!="m",ROUND(DAYS360(E10,F10)/360*12+1,1),IF(#REF!="q",ROUND(DAYS360(E10,F10)/360*4+1,1),IF(#REF!="h",ROUND(DAYS360(E10,F10)/360*2+1,1),IF(#REF!="j",ROUND(DAYS360(E10,F10)/360+1,1))))))</f>
        <v/>
      </c>
      <c r="H10" s="412" t="str">
        <f>IF(OR(B10="",F10="ub"),"",IF(#REF!="v",L10,IF(#REF!="N",M10)))</f>
        <v/>
      </c>
      <c r="I10" s="242" t="str">
        <f t="shared" ref="I10:I28" si="0">IF(H10="","",H10*D10)</f>
        <v/>
      </c>
    </row>
    <row r="11" spans="2:12">
      <c r="B11" s="413"/>
      <c r="C11" s="414"/>
      <c r="D11" s="404"/>
      <c r="E11" s="405"/>
      <c r="F11" s="406"/>
      <c r="G11" s="412" t="str">
        <f>IF(OR(B11="",F11="ub"),"",IF(#REF!="m",ROUND(DAYS360(E11,F11)/360*12+1,1),IF(#REF!="q",ROUND(DAYS360(E11,F11)/360*4+1,1),IF(#REF!="h",ROUND(DAYS360(E11,F11)/360*2+1,1),IF(#REF!="j",ROUND(DAYS360(E11,F11)/360+1,1))))))</f>
        <v/>
      </c>
      <c r="H11" s="412" t="str">
        <f>IF(OR(B11="",F11="ub"),"",IF(#REF!="v",L11,IF(#REF!="N",M11)))</f>
        <v/>
      </c>
      <c r="I11" s="242" t="str">
        <f t="shared" si="0"/>
        <v/>
      </c>
    </row>
    <row r="12" spans="2:12">
      <c r="B12" s="413"/>
      <c r="C12" s="414"/>
      <c r="D12" s="404"/>
      <c r="E12" s="405"/>
      <c r="F12" s="406"/>
      <c r="G12" s="412" t="str">
        <f>IF(OR(B12="",F12="ub"),"",IF(#REF!="m",ROUND(DAYS360(E12,F12)/360*12+1,1),IF(#REF!="q",ROUND(DAYS360(E12,F12)/360*4+1,1),IF(#REF!="h",ROUND(DAYS360(E12,F12)/360*2+1,1),IF(#REF!="j",ROUND(DAYS360(E12,F12)/360+1,1))))))</f>
        <v/>
      </c>
      <c r="H12" s="412" t="str">
        <f>IF(OR(B12="",F12="ub"),"",IF(#REF!="v",L12,IF(#REF!="N",M12)))</f>
        <v/>
      </c>
      <c r="I12" s="242" t="str">
        <f t="shared" si="0"/>
        <v/>
      </c>
    </row>
    <row r="13" spans="2:12">
      <c r="B13" s="413"/>
      <c r="C13" s="414"/>
      <c r="D13" s="404"/>
      <c r="E13" s="405"/>
      <c r="F13" s="406"/>
      <c r="G13" s="412" t="str">
        <f>IF(OR(B13="",F13="ub"),"",IF(#REF!="m",ROUND(DAYS360(E13,F13)/360*12+1,1),IF(#REF!="q",ROUND(DAYS360(E13,F13)/360*4+1,1),IF(#REF!="h",ROUND(DAYS360(E13,F13)/360*2+1,1),IF(#REF!="j",ROUND(DAYS360(E13,F13)/360+1,1))))))</f>
        <v/>
      </c>
      <c r="H13" s="412" t="str">
        <f>IF(OR(B13="",F13="ub"),"",IF(#REF!="v",L13,IF(#REF!="N",M13)))</f>
        <v/>
      </c>
      <c r="I13" s="242" t="str">
        <f t="shared" si="0"/>
        <v/>
      </c>
    </row>
    <row r="14" spans="2:12">
      <c r="B14" s="413"/>
      <c r="C14" s="414"/>
      <c r="D14" s="404"/>
      <c r="E14" s="405"/>
      <c r="F14" s="406"/>
      <c r="G14" s="412" t="str">
        <f>IF(OR(B14="",F14="ub"),"",IF(#REF!="m",ROUND(DAYS360(E14,F14)/360*12+1,1),IF(#REF!="q",ROUND(DAYS360(E14,F14)/360*4+1,1),IF(#REF!="h",ROUND(DAYS360(E14,F14)/360*2+1,1),IF(#REF!="j",ROUND(DAYS360(E14,F14)/360+1,1))))))</f>
        <v/>
      </c>
      <c r="H14" s="412" t="str">
        <f>IF(OR(B14="",F14="ub"),"",IF(#REF!="v",L14,IF(#REF!="N",M14)))</f>
        <v/>
      </c>
      <c r="I14" s="242" t="str">
        <f t="shared" si="0"/>
        <v/>
      </c>
    </row>
    <row r="15" spans="2:12">
      <c r="B15" s="413"/>
      <c r="C15" s="414"/>
      <c r="D15" s="404"/>
      <c r="E15" s="405"/>
      <c r="F15" s="406"/>
      <c r="G15" s="412" t="str">
        <f>IF(OR(B15="",F15="ub"),"",IF(#REF!="m",ROUND(DAYS360(E15,F15)/360*12+1,1),IF(#REF!="q",ROUND(DAYS360(E15,F15)/360*4+1,1),IF(#REF!="h",ROUND(DAYS360(E15,F15)/360*2+1,1),IF(#REF!="j",ROUND(DAYS360(E15,F15)/360+1,1))))))</f>
        <v/>
      </c>
      <c r="H15" s="412" t="str">
        <f>IF(OR(B15="",F15="ub"),"",IF(#REF!="v",L15,IF(#REF!="N",M15)))</f>
        <v/>
      </c>
      <c r="I15" s="242" t="str">
        <f t="shared" si="0"/>
        <v/>
      </c>
    </row>
    <row r="16" spans="2:12">
      <c r="B16" s="413"/>
      <c r="C16" s="414"/>
      <c r="D16" s="404"/>
      <c r="E16" s="405"/>
      <c r="F16" s="406"/>
      <c r="G16" s="412" t="str">
        <f>IF(OR(B16="",F16="ub"),"",IF(#REF!="m",ROUND(DAYS360(E16,F16)/360*12+1,1),IF(#REF!="q",ROUND(DAYS360(E16,F16)/360*4+1,1),IF(#REF!="h",ROUND(DAYS360(E16,F16)/360*2+1,1),IF(#REF!="j",ROUND(DAYS360(E16,F16)/360+1,1))))))</f>
        <v/>
      </c>
      <c r="H16" s="412" t="str">
        <f>IF(OR(B16="",F16="ub"),"",IF(#REF!="v",L16,IF(#REF!="N",M16)))</f>
        <v/>
      </c>
      <c r="I16" s="242" t="str">
        <f t="shared" si="0"/>
        <v/>
      </c>
    </row>
    <row r="17" spans="2:9">
      <c r="B17" s="413"/>
      <c r="C17" s="414"/>
      <c r="D17" s="404"/>
      <c r="E17" s="405"/>
      <c r="F17" s="406"/>
      <c r="G17" s="412" t="str">
        <f>IF(OR(B17="",F17="ub"),"",IF(#REF!="m",ROUND(DAYS360(E17,F17)/360*12+1,1),IF(#REF!="q",ROUND(DAYS360(E17,F17)/360*4+1,1),IF(#REF!="h",ROUND(DAYS360(E17,F17)/360*2+1,1),IF(#REF!="j",ROUND(DAYS360(E17,F17)/360+1,1))))))</f>
        <v/>
      </c>
      <c r="H17" s="412" t="str">
        <f>IF(OR(B17="",F17="ub"),"",IF(#REF!="v",L17,IF(#REF!="N",M17)))</f>
        <v/>
      </c>
      <c r="I17" s="242" t="str">
        <f t="shared" si="0"/>
        <v/>
      </c>
    </row>
    <row r="18" spans="2:9">
      <c r="B18" s="413"/>
      <c r="C18" s="414"/>
      <c r="D18" s="404"/>
      <c r="E18" s="405"/>
      <c r="F18" s="406"/>
      <c r="G18" s="412" t="str">
        <f>IF(OR(B18="",F18="ub"),"",IF(#REF!="m",ROUND(DAYS360(E18,F18)/360*12+1,1),IF(#REF!="q",ROUND(DAYS360(E18,F18)/360*4+1,1),IF(#REF!="h",ROUND(DAYS360(E18,F18)/360*2+1,1),IF(#REF!="j",ROUND(DAYS360(E18,F18)/360+1,1))))))</f>
        <v/>
      </c>
      <c r="H18" s="412" t="str">
        <f>IF(OR(B18="",F18="ub"),"",IF(#REF!="v",L18,IF(#REF!="N",M18)))</f>
        <v/>
      </c>
      <c r="I18" s="242" t="str">
        <f t="shared" si="0"/>
        <v/>
      </c>
    </row>
    <row r="19" spans="2:9">
      <c r="B19" s="413"/>
      <c r="C19" s="414"/>
      <c r="D19" s="404"/>
      <c r="E19" s="405"/>
      <c r="F19" s="406"/>
      <c r="G19" s="412" t="str">
        <f>IF(OR(B19="",F19="ub"),"",IF(#REF!="m",ROUND(DAYS360(E19,F19)/360*12+1,1),IF(#REF!="q",ROUND(DAYS360(E19,F19)/360*4+1,1),IF(#REF!="h",ROUND(DAYS360(E19,F19)/360*2+1,1),IF(#REF!="j",ROUND(DAYS360(E19,F19)/360+1,1))))))</f>
        <v/>
      </c>
      <c r="H19" s="412" t="str">
        <f>IF(OR(B19="",F19="ub"),"",IF(#REF!="v",L19,IF(#REF!="N",M19)))</f>
        <v/>
      </c>
      <c r="I19" s="242" t="str">
        <f t="shared" si="0"/>
        <v/>
      </c>
    </row>
    <row r="20" spans="2:9">
      <c r="B20" s="413"/>
      <c r="C20" s="414"/>
      <c r="D20" s="404"/>
      <c r="E20" s="405"/>
      <c r="F20" s="406"/>
      <c r="G20" s="412" t="str">
        <f>IF(OR(B20="",F20="ub"),"",IF(#REF!="m",ROUND(DAYS360(E20,F20)/360*12+1,1),IF(#REF!="q",ROUND(DAYS360(E20,F20)/360*4+1,1),IF(#REF!="h",ROUND(DAYS360(E20,F20)/360*2+1,1),IF(#REF!="j",ROUND(DAYS360(E20,F20)/360+1,1))))))</f>
        <v/>
      </c>
      <c r="H20" s="412" t="str">
        <f>IF(OR(B20="",F20="ub"),"",IF(#REF!="v",L20,IF(#REF!="N",M20)))</f>
        <v/>
      </c>
      <c r="I20" s="242" t="str">
        <f t="shared" si="0"/>
        <v/>
      </c>
    </row>
    <row r="21" spans="2:9">
      <c r="B21" s="413"/>
      <c r="C21" s="414"/>
      <c r="D21" s="404"/>
      <c r="E21" s="405"/>
      <c r="F21" s="406"/>
      <c r="G21" s="412" t="str">
        <f>IF(OR(B21="",F21="ub"),"",IF(#REF!="m",ROUND(DAYS360(E21,F21)/360*12+1,1),IF(#REF!="q",ROUND(DAYS360(E21,F21)/360*4+1,1),IF(#REF!="h",ROUND(DAYS360(E21,F21)/360*2+1,1),IF(#REF!="j",ROUND(DAYS360(E21,F21)/360+1,1))))))</f>
        <v/>
      </c>
      <c r="H21" s="412" t="str">
        <f>IF(OR(B21="",F21="ub"),"",IF(#REF!="v",L21,IF(#REF!="N",M21)))</f>
        <v/>
      </c>
      <c r="I21" s="242" t="str">
        <f t="shared" si="0"/>
        <v/>
      </c>
    </row>
    <row r="22" spans="2:9">
      <c r="B22" s="413"/>
      <c r="C22" s="414"/>
      <c r="D22" s="404"/>
      <c r="E22" s="405"/>
      <c r="F22" s="406"/>
      <c r="G22" s="412" t="str">
        <f>IF(OR(B22="",F22="ub"),"",IF(#REF!="m",ROUND(DAYS360(E22,F22)/360*12+1,1),IF(#REF!="q",ROUND(DAYS360(E22,F22)/360*4+1,1),IF(#REF!="h",ROUND(DAYS360(E22,F22)/360*2+1,1),IF(#REF!="j",ROUND(DAYS360(E22,F22)/360+1,1))))))</f>
        <v/>
      </c>
      <c r="H22" s="412" t="str">
        <f>IF(OR(B22="",F22="ub"),"",IF(#REF!="v",L22,IF(#REF!="N",M22)))</f>
        <v/>
      </c>
      <c r="I22" s="242" t="str">
        <f t="shared" si="0"/>
        <v/>
      </c>
    </row>
    <row r="23" spans="2:9">
      <c r="B23" s="413"/>
      <c r="C23" s="414"/>
      <c r="D23" s="404"/>
      <c r="E23" s="405"/>
      <c r="F23" s="406"/>
      <c r="G23" s="412" t="str">
        <f>IF(OR(B23="",F23="ub"),"",IF(#REF!="m",ROUND(DAYS360(E23,F23)/360*12+1,1),IF(#REF!="q",ROUND(DAYS360(E23,F23)/360*4+1,1),IF(#REF!="h",ROUND(DAYS360(E23,F23)/360*2+1,1),IF(#REF!="j",ROUND(DAYS360(E23,F23)/360+1,1))))))</f>
        <v/>
      </c>
      <c r="H23" s="412" t="str">
        <f>IF(OR(B23="",F23="ub"),"",IF(#REF!="v",L23,IF(#REF!="N",M23)))</f>
        <v/>
      </c>
      <c r="I23" s="242" t="str">
        <f t="shared" si="0"/>
        <v/>
      </c>
    </row>
    <row r="24" spans="2:9">
      <c r="B24" s="413"/>
      <c r="C24" s="414"/>
      <c r="D24" s="404"/>
      <c r="E24" s="405"/>
      <c r="F24" s="406"/>
      <c r="G24" s="412" t="str">
        <f>IF(OR(B24="",F24="ub"),"",IF(#REF!="m",ROUND(DAYS360(E24,F24)/360*12+1,1),IF(#REF!="q",ROUND(DAYS360(E24,F24)/360*4+1,1),IF(#REF!="h",ROUND(DAYS360(E24,F24)/360*2+1,1),IF(#REF!="j",ROUND(DAYS360(E24,F24)/360+1,1))))))</f>
        <v/>
      </c>
      <c r="H24" s="412" t="str">
        <f>IF(OR(B24="",F24="ub"),"",IF(#REF!="v",L24,IF(#REF!="N",M24)))</f>
        <v/>
      </c>
      <c r="I24" s="242" t="str">
        <f t="shared" si="0"/>
        <v/>
      </c>
    </row>
    <row r="25" spans="2:9">
      <c r="B25" s="413"/>
      <c r="C25" s="414"/>
      <c r="D25" s="404"/>
      <c r="E25" s="405"/>
      <c r="F25" s="406"/>
      <c r="G25" s="412" t="str">
        <f>IF(OR(B25="",F25="ub"),"",IF(#REF!="m",ROUND(DAYS360(E25,F25)/360*12+1,1),IF(#REF!="q",ROUND(DAYS360(E25,F25)/360*4+1,1),IF(#REF!="h",ROUND(DAYS360(E25,F25)/360*2+1,1),IF(#REF!="j",ROUND(DAYS360(E25,F25)/360+1,1))))))</f>
        <v/>
      </c>
      <c r="H25" s="412" t="str">
        <f>IF(OR(B25="",F25="ub"),"",IF(#REF!="v",L25,IF(#REF!="N",M25)))</f>
        <v/>
      </c>
      <c r="I25" s="242" t="str">
        <f t="shared" si="0"/>
        <v/>
      </c>
    </row>
    <row r="26" spans="2:9">
      <c r="B26" s="413"/>
      <c r="C26" s="414"/>
      <c r="D26" s="404"/>
      <c r="E26" s="405"/>
      <c r="F26" s="406"/>
      <c r="G26" s="412" t="str">
        <f>IF(OR(B26="",F26="ub"),"",IF(#REF!="m",ROUND(DAYS360(E26,F26)/360*12+1,1),IF(#REF!="q",ROUND(DAYS360(E26,F26)/360*4+1,1),IF(#REF!="h",ROUND(DAYS360(E26,F26)/360*2+1,1),IF(#REF!="j",ROUND(DAYS360(E26,F26)/360+1,1))))))</f>
        <v/>
      </c>
      <c r="H26" s="412" t="str">
        <f>IF(OR(B26="",F26="ub"),"",IF(#REF!="v",L26,IF(#REF!="N",M26)))</f>
        <v/>
      </c>
      <c r="I26" s="242" t="str">
        <f t="shared" si="0"/>
        <v/>
      </c>
    </row>
    <row r="27" spans="2:9">
      <c r="B27" s="413"/>
      <c r="C27" s="414"/>
      <c r="D27" s="404"/>
      <c r="E27" s="405"/>
      <c r="F27" s="406"/>
      <c r="G27" s="412" t="str">
        <f>IF(OR(B27="",F27="ub"),"",IF(#REF!="m",ROUND(DAYS360(E27,F27)/360*12+1,1),IF(#REF!="q",ROUND(DAYS360(E27,F27)/360*4+1,1),IF(#REF!="h",ROUND(DAYS360(E27,F27)/360*2+1,1),IF(#REF!="j",ROUND(DAYS360(E27,F27)/360+1,1))))))</f>
        <v/>
      </c>
      <c r="H27" s="412" t="str">
        <f>IF(OR(B27="",F27="ub"),"",IF(#REF!="v",L27,IF(#REF!="N",M27)))</f>
        <v/>
      </c>
      <c r="I27" s="242" t="str">
        <f t="shared" si="0"/>
        <v/>
      </c>
    </row>
    <row r="28" spans="2:9">
      <c r="B28" s="415"/>
      <c r="C28" s="416"/>
      <c r="D28" s="407"/>
      <c r="E28" s="408"/>
      <c r="F28" s="409"/>
      <c r="G28" s="412" t="str">
        <f>IF(OR(B28="",F28="ub"),"",IF(#REF!="m",ROUND(DAYS360(E28,F28)/360*12+1,1),IF(#REF!="q",ROUND(DAYS360(E28,F28)/360*4+1,1),IF(#REF!="h",ROUND(DAYS360(E28,F28)/360*2+1,1),IF(#REF!="j",ROUND(DAYS360(E28,F28)/360+1,1))))))</f>
        <v/>
      </c>
      <c r="H28" s="412" t="str">
        <f>IF(OR(B28="",F28="ub"),"",IF(#REF!="v",L28,IF(#REF!="N",M28)))</f>
        <v/>
      </c>
      <c r="I28" s="242" t="str">
        <f t="shared" si="0"/>
        <v/>
      </c>
    </row>
    <row r="29" spans="2:9">
      <c r="B29" s="246"/>
      <c r="C29" s="246"/>
      <c r="D29" s="381"/>
      <c r="E29" s="382"/>
      <c r="F29" s="382"/>
      <c r="G29" s="383"/>
      <c r="H29" s="383"/>
      <c r="I29" s="242"/>
    </row>
    <row r="30" spans="2:9">
      <c r="B30" s="384" t="s">
        <v>262</v>
      </c>
      <c r="C30" s="384"/>
      <c r="D30" s="385"/>
      <c r="E30" s="384"/>
      <c r="F30" s="384"/>
      <c r="G30" s="384"/>
      <c r="H30" s="384"/>
      <c r="I30" s="386">
        <f>SUM(I9:I28)</f>
        <v>1200</v>
      </c>
    </row>
    <row r="31" spans="2:9">
      <c r="B31" s="246"/>
      <c r="C31" s="246"/>
      <c r="D31" s="246"/>
      <c r="E31" s="246"/>
      <c r="F31" s="246"/>
      <c r="G31" s="238"/>
      <c r="H31" s="238"/>
      <c r="I31" s="239"/>
    </row>
  </sheetData>
  <sheetProtection algorithmName="SHA-512" hashValue="Ndo2JLfQQozmS4J/Q6ENNTsz4SN5uk6CuSji9s1M4RKaTTvoZK8YcE8njM+vnoxRcMRq0/YDR95s1jBDSJfSHw==" saltValue="hHWiNRhNu50Xh5qBJR9O8Q==" spinCount="100000" sheet="1" objects="1" scenarios="1"/>
  <mergeCells count="2">
    <mergeCell ref="B1:I1"/>
    <mergeCell ref="C3:H3"/>
  </mergeCells>
  <hyperlinks>
    <hyperlink ref="I4" location="Inhaltsverzeichnis!A1" display="zum Inhaltsverzeichnis" xr:uid="{9CC775FE-71DE-46D5-B79D-074B89F79053}"/>
  </hyperlinks>
  <pageMargins left="0.7" right="0.7" top="0.78740157499999996" bottom="0.78740157499999996" header="0.3" footer="0.3"/>
  <pageSetup paperSize="9" scale="73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20F90-CBF2-4ADE-A6D0-6117C25438FB}">
  <sheetPr>
    <pageSetUpPr fitToPage="1"/>
  </sheetPr>
  <dimension ref="A1:M31"/>
  <sheetViews>
    <sheetView showGridLines="0" topLeftCell="A11" zoomScaleNormal="100" workbookViewId="0">
      <selection activeCell="C7" sqref="C7"/>
    </sheetView>
  </sheetViews>
  <sheetFormatPr baseColWidth="10" defaultColWidth="0" defaultRowHeight="15" zeroHeight="1"/>
  <cols>
    <col min="1" max="1" width="1.7109375" customWidth="1"/>
    <col min="2" max="2" width="19.85546875" customWidth="1"/>
    <col min="3" max="3" width="15.85546875" customWidth="1"/>
    <col min="4" max="4" width="15.5703125" customWidth="1"/>
    <col min="5" max="5" width="14.7109375" customWidth="1"/>
    <col min="6" max="6" width="16.140625" customWidth="1"/>
    <col min="7" max="7" width="17.5703125" customWidth="1"/>
    <col min="8" max="8" width="15.42578125" customWidth="1"/>
    <col min="9" max="9" width="16.28515625" customWidth="1"/>
    <col min="10" max="10" width="15.85546875" customWidth="1"/>
    <col min="11" max="11" width="17.42578125" customWidth="1"/>
    <col min="12" max="12" width="1.7109375" customWidth="1"/>
    <col min="13" max="13" width="20.140625" bestFit="1" customWidth="1"/>
    <col min="14" max="16384" width="11.42578125" hidden="1"/>
  </cols>
  <sheetData>
    <row r="1" spans="2:13" ht="35.1" customHeight="1">
      <c r="B1" s="1079" t="s">
        <v>389</v>
      </c>
      <c r="C1" s="1092"/>
      <c r="D1" s="1092"/>
      <c r="E1" s="1092"/>
      <c r="F1" s="1092"/>
      <c r="G1" s="1092"/>
      <c r="H1" s="1092"/>
      <c r="I1" s="1092"/>
      <c r="J1" s="1092"/>
      <c r="K1" s="1092"/>
      <c r="M1" s="480" t="s">
        <v>305</v>
      </c>
    </row>
    <row r="2" spans="2:13">
      <c r="K2" s="603" t="s">
        <v>314</v>
      </c>
    </row>
    <row r="3" spans="2:13">
      <c r="B3" s="237" t="s">
        <v>75</v>
      </c>
      <c r="C3" s="1342" t="str">
        <f>Mandantendaten!C3</f>
        <v>Max Mustermann</v>
      </c>
      <c r="D3" s="1343"/>
      <c r="E3" s="1343"/>
      <c r="F3" s="1343"/>
      <c r="G3" s="1343"/>
      <c r="H3" s="1343"/>
      <c r="I3" s="1343"/>
      <c r="J3" s="1353">
        <f>Mandantendaten!C5</f>
        <v>44561</v>
      </c>
      <c r="K3" s="1353"/>
    </row>
    <row r="4" spans="2:13">
      <c r="B4" s="236"/>
      <c r="C4" s="224"/>
      <c r="D4" s="367"/>
      <c r="E4" s="417"/>
      <c r="F4" s="417"/>
      <c r="G4" s="417"/>
      <c r="H4" s="224"/>
      <c r="I4" s="224"/>
      <c r="J4" s="224"/>
      <c r="K4" s="224"/>
    </row>
    <row r="5" spans="2:13">
      <c r="B5" s="1358" t="s">
        <v>263</v>
      </c>
      <c r="C5" s="1092"/>
      <c r="D5" s="1092"/>
      <c r="E5" s="427"/>
      <c r="F5" s="427"/>
      <c r="G5" s="427"/>
      <c r="H5" s="426"/>
      <c r="I5" s="426"/>
      <c r="J5" s="426"/>
      <c r="K5" s="426"/>
    </row>
    <row r="6" spans="2:13">
      <c r="B6" s="418"/>
      <c r="C6" s="419"/>
      <c r="D6" s="420"/>
      <c r="E6" s="421"/>
      <c r="F6" s="421"/>
      <c r="G6" s="421"/>
      <c r="H6" s="419"/>
      <c r="I6" s="419"/>
      <c r="J6" s="419"/>
      <c r="K6" s="419"/>
    </row>
    <row r="7" spans="2:13">
      <c r="B7" s="422" t="s">
        <v>219</v>
      </c>
      <c r="C7" s="428"/>
      <c r="D7" s="429"/>
      <c r="E7" s="429"/>
      <c r="F7" s="429"/>
      <c r="G7" s="429"/>
      <c r="H7" s="429"/>
      <c r="I7" s="429"/>
      <c r="J7" s="429"/>
      <c r="K7" s="430"/>
    </row>
    <row r="8" spans="2:13">
      <c r="B8" s="554" t="s">
        <v>113</v>
      </c>
      <c r="C8" s="431"/>
      <c r="D8" s="432"/>
      <c r="E8" s="432"/>
      <c r="F8" s="432"/>
      <c r="G8" s="432"/>
      <c r="H8" s="432"/>
      <c r="I8" s="432"/>
      <c r="J8" s="432"/>
      <c r="K8" s="433"/>
    </row>
    <row r="9" spans="2:13">
      <c r="B9" s="227" t="s">
        <v>264</v>
      </c>
      <c r="C9" s="434"/>
      <c r="D9" s="435"/>
      <c r="E9" s="435"/>
      <c r="F9" s="435"/>
      <c r="G9" s="435"/>
      <c r="H9" s="435"/>
      <c r="I9" s="435"/>
      <c r="J9" s="435"/>
      <c r="K9" s="436"/>
    </row>
    <row r="10" spans="2:13">
      <c r="B10" s="227" t="s">
        <v>199</v>
      </c>
      <c r="C10" s="434"/>
      <c r="D10" s="435"/>
      <c r="E10" s="435"/>
      <c r="F10" s="435"/>
      <c r="G10" s="435"/>
      <c r="H10" s="435"/>
      <c r="I10" s="435"/>
      <c r="J10" s="435"/>
      <c r="K10" s="436"/>
    </row>
    <row r="11" spans="2:13">
      <c r="B11" s="227" t="s">
        <v>200</v>
      </c>
      <c r="C11" s="434"/>
      <c r="D11" s="435"/>
      <c r="E11" s="435"/>
      <c r="F11" s="435"/>
      <c r="G11" s="435"/>
      <c r="H11" s="435"/>
      <c r="I11" s="435"/>
      <c r="J11" s="435"/>
      <c r="K11" s="436"/>
    </row>
    <row r="12" spans="2:13">
      <c r="B12" s="227" t="s">
        <v>201</v>
      </c>
      <c r="C12" s="434"/>
      <c r="D12" s="435"/>
      <c r="E12" s="435"/>
      <c r="F12" s="435"/>
      <c r="G12" s="435"/>
      <c r="H12" s="435"/>
      <c r="I12" s="435"/>
      <c r="J12" s="435"/>
      <c r="K12" s="436"/>
    </row>
    <row r="13" spans="2:13">
      <c r="B13" s="227" t="s">
        <v>202</v>
      </c>
      <c r="C13" s="434"/>
      <c r="D13" s="435"/>
      <c r="E13" s="435"/>
      <c r="F13" s="435"/>
      <c r="G13" s="435"/>
      <c r="H13" s="435"/>
      <c r="I13" s="435"/>
      <c r="J13" s="435"/>
      <c r="K13" s="436"/>
    </row>
    <row r="14" spans="2:13">
      <c r="B14" s="227" t="s">
        <v>203</v>
      </c>
      <c r="C14" s="434"/>
      <c r="D14" s="435"/>
      <c r="E14" s="435"/>
      <c r="F14" s="435"/>
      <c r="G14" s="435"/>
      <c r="H14" s="435"/>
      <c r="I14" s="435"/>
      <c r="J14" s="435"/>
      <c r="K14" s="436"/>
    </row>
    <row r="15" spans="2:13">
      <c r="B15" s="227" t="s">
        <v>204</v>
      </c>
      <c r="C15" s="434"/>
      <c r="D15" s="435"/>
      <c r="E15" s="435"/>
      <c r="F15" s="435"/>
      <c r="G15" s="435"/>
      <c r="H15" s="435"/>
      <c r="I15" s="435"/>
      <c r="J15" s="435"/>
      <c r="K15" s="436"/>
    </row>
    <row r="16" spans="2:13">
      <c r="B16" s="227" t="s">
        <v>205</v>
      </c>
      <c r="C16" s="434"/>
      <c r="D16" s="435"/>
      <c r="E16" s="435"/>
      <c r="F16" s="435"/>
      <c r="G16" s="435"/>
      <c r="H16" s="435"/>
      <c r="I16" s="435"/>
      <c r="J16" s="435"/>
      <c r="K16" s="436"/>
    </row>
    <row r="17" spans="2:11">
      <c r="B17" s="227" t="s">
        <v>206</v>
      </c>
      <c r="C17" s="434"/>
      <c r="D17" s="435"/>
      <c r="E17" s="435"/>
      <c r="F17" s="435"/>
      <c r="G17" s="435"/>
      <c r="H17" s="435"/>
      <c r="I17" s="435"/>
      <c r="J17" s="435"/>
      <c r="K17" s="436"/>
    </row>
    <row r="18" spans="2:11">
      <c r="B18" s="227" t="s">
        <v>207</v>
      </c>
      <c r="C18" s="434"/>
      <c r="D18" s="435"/>
      <c r="E18" s="435"/>
      <c r="F18" s="435"/>
      <c r="G18" s="435"/>
      <c r="H18" s="435"/>
      <c r="I18" s="435"/>
      <c r="J18" s="435"/>
      <c r="K18" s="436"/>
    </row>
    <row r="19" spans="2:11">
      <c r="B19" s="227" t="s">
        <v>208</v>
      </c>
      <c r="C19" s="434"/>
      <c r="D19" s="435"/>
      <c r="E19" s="435"/>
      <c r="F19" s="435"/>
      <c r="G19" s="435"/>
      <c r="H19" s="435"/>
      <c r="I19" s="435"/>
      <c r="J19" s="435"/>
      <c r="K19" s="436"/>
    </row>
    <row r="20" spans="2:11">
      <c r="B20" s="227" t="s">
        <v>209</v>
      </c>
      <c r="C20" s="437"/>
      <c r="D20" s="438"/>
      <c r="E20" s="438"/>
      <c r="F20" s="438"/>
      <c r="G20" s="438"/>
      <c r="H20" s="438"/>
      <c r="I20" s="438"/>
      <c r="J20" s="438"/>
      <c r="K20" s="439"/>
    </row>
    <row r="21" spans="2:11">
      <c r="B21" s="227"/>
      <c r="C21" s="423"/>
      <c r="D21" s="423"/>
      <c r="E21" s="423"/>
      <c r="F21" s="423"/>
      <c r="G21" s="423"/>
      <c r="H21" s="423"/>
      <c r="I21" s="423"/>
      <c r="J21" s="423"/>
      <c r="K21" s="423"/>
    </row>
    <row r="22" spans="2:11">
      <c r="B22" s="230" t="s">
        <v>91</v>
      </c>
      <c r="C22" s="424">
        <f t="shared" ref="C22:K22" si="0">SUM(C9:C20)</f>
        <v>0</v>
      </c>
      <c r="D22" s="424">
        <f t="shared" si="0"/>
        <v>0</v>
      </c>
      <c r="E22" s="424">
        <f t="shared" si="0"/>
        <v>0</v>
      </c>
      <c r="F22" s="424">
        <f t="shared" si="0"/>
        <v>0</v>
      </c>
      <c r="G22" s="424">
        <f t="shared" si="0"/>
        <v>0</v>
      </c>
      <c r="H22" s="424">
        <f t="shared" si="0"/>
        <v>0</v>
      </c>
      <c r="I22" s="424">
        <f t="shared" si="0"/>
        <v>0</v>
      </c>
      <c r="J22" s="424">
        <f t="shared" si="0"/>
        <v>0</v>
      </c>
      <c r="K22" s="424">
        <f t="shared" si="0"/>
        <v>0</v>
      </c>
    </row>
    <row r="23" spans="2:11">
      <c r="B23" s="235"/>
      <c r="C23" s="425"/>
      <c r="D23" s="425"/>
      <c r="E23" s="425"/>
      <c r="F23" s="425"/>
      <c r="G23" s="425"/>
      <c r="H23" s="425"/>
      <c r="I23" s="425"/>
      <c r="J23" s="425"/>
      <c r="K23" s="425"/>
    </row>
    <row r="24" spans="2:11">
      <c r="B24" s="235"/>
      <c r="C24" s="425"/>
      <c r="D24" s="425"/>
      <c r="E24" s="425"/>
      <c r="F24" s="425"/>
      <c r="G24" s="425"/>
      <c r="H24" s="425"/>
      <c r="I24" s="425"/>
      <c r="J24" s="425"/>
      <c r="K24" s="425"/>
    </row>
    <row r="25" spans="2:11">
      <c r="B25" s="440" t="s">
        <v>265</v>
      </c>
      <c r="C25" s="441" t="s">
        <v>91</v>
      </c>
      <c r="D25" s="441" t="s">
        <v>266</v>
      </c>
      <c r="E25" s="441" t="s">
        <v>120</v>
      </c>
      <c r="F25" s="441" t="s">
        <v>267</v>
      </c>
      <c r="G25" s="441"/>
      <c r="H25" s="423"/>
      <c r="I25" s="423"/>
      <c r="J25" s="423"/>
      <c r="K25" s="423"/>
    </row>
    <row r="26" spans="2:11">
      <c r="B26" s="442"/>
      <c r="C26" s="443">
        <f>SUMIF($5:$5,B26,$20:$20)</f>
        <v>0</v>
      </c>
      <c r="D26" s="444"/>
      <c r="E26" s="551">
        <f>D26-C26</f>
        <v>0</v>
      </c>
      <c r="F26" s="1357"/>
      <c r="G26" s="1357"/>
      <c r="H26" s="423"/>
      <c r="I26" s="423"/>
      <c r="J26" s="423"/>
      <c r="K26" s="423"/>
    </row>
    <row r="27" spans="2:11">
      <c r="B27" s="445"/>
      <c r="C27" s="443">
        <f>SUMIF($5:$5,B27,$20:$20)</f>
        <v>0</v>
      </c>
      <c r="D27" s="446"/>
      <c r="E27" s="552">
        <f>D27-C27</f>
        <v>0</v>
      </c>
      <c r="F27" s="1355"/>
      <c r="G27" s="1355"/>
      <c r="H27" s="423"/>
      <c r="I27" s="423"/>
      <c r="J27" s="423"/>
      <c r="K27" s="423"/>
    </row>
    <row r="28" spans="2:11">
      <c r="B28" s="445"/>
      <c r="C28" s="443">
        <f>SUMIF($5:$5,B28,$20:$20)</f>
        <v>0</v>
      </c>
      <c r="D28" s="446"/>
      <c r="E28" s="552">
        <f>D28-C28</f>
        <v>0</v>
      </c>
      <c r="F28" s="1355"/>
      <c r="G28" s="1355"/>
      <c r="H28" s="423"/>
      <c r="I28" s="423"/>
      <c r="J28" s="423"/>
      <c r="K28" s="423"/>
    </row>
    <row r="29" spans="2:11">
      <c r="B29" s="445"/>
      <c r="C29" s="443">
        <f>SUMIF($5:$5,B29,$20:$20)</f>
        <v>0</v>
      </c>
      <c r="D29" s="446"/>
      <c r="E29" s="552">
        <f>D29-C29</f>
        <v>0</v>
      </c>
      <c r="F29" s="1355"/>
      <c r="G29" s="1355"/>
      <c r="H29" s="423"/>
      <c r="I29" s="423"/>
      <c r="J29" s="423"/>
      <c r="K29" s="423"/>
    </row>
    <row r="30" spans="2:11">
      <c r="B30" s="447"/>
      <c r="C30" s="443">
        <f>SUMIF($5:$5,B30,$20:$20)</f>
        <v>0</v>
      </c>
      <c r="D30" s="448"/>
      <c r="E30" s="553">
        <f>D30-C30</f>
        <v>0</v>
      </c>
      <c r="F30" s="1356"/>
      <c r="G30" s="1356"/>
      <c r="H30" s="423"/>
      <c r="I30" s="423"/>
      <c r="J30" s="423"/>
      <c r="K30" s="423"/>
    </row>
    <row r="31" spans="2:11"/>
  </sheetData>
  <sheetProtection algorithmName="SHA-512" hashValue="AMhR8w/GKa+nB21O+jalhMt2oveujkus/hEEC3wTRSXCQtkDGuxKIQ+vzM98VFID8+LPaMhwzg13Gg/dYbleDA==" saltValue="ouJdLtSYOkzA72JW3QZ7zA==" spinCount="100000" sheet="1" objects="1" scenarios="1"/>
  <mergeCells count="9">
    <mergeCell ref="F28:G28"/>
    <mergeCell ref="F29:G29"/>
    <mergeCell ref="F30:G30"/>
    <mergeCell ref="B1:K1"/>
    <mergeCell ref="C3:I3"/>
    <mergeCell ref="J3:K3"/>
    <mergeCell ref="F26:G26"/>
    <mergeCell ref="F27:G27"/>
    <mergeCell ref="B5:D5"/>
  </mergeCells>
  <hyperlinks>
    <hyperlink ref="M1" location="Inhaltsverzeichnis!A1" display="zm Inhaltsverzeichnis" xr:uid="{1000E9F5-8A21-4BE4-9E78-E2373788D838}"/>
  </hyperlinks>
  <pageMargins left="0.7" right="0.7" top="0.78740157499999996" bottom="0.78740157499999996" header="0.3" footer="0.3"/>
  <pageSetup paperSize="9" scale="78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5806-6C79-4B37-9492-FA10C643402F}">
  <sheetPr>
    <pageSetUpPr fitToPage="1"/>
  </sheetPr>
  <dimension ref="A1:I15"/>
  <sheetViews>
    <sheetView showGridLines="0" tabSelected="1" workbookViewId="0">
      <selection activeCell="C3" sqref="C3:E3"/>
    </sheetView>
  </sheetViews>
  <sheetFormatPr baseColWidth="10" defaultColWidth="0" defaultRowHeight="15" zeroHeight="1"/>
  <cols>
    <col min="1" max="1" width="1.7109375" customWidth="1"/>
    <col min="2" max="2" width="39.85546875" customWidth="1"/>
    <col min="3" max="3" width="32.42578125" customWidth="1"/>
    <col min="4" max="4" width="15.85546875" customWidth="1"/>
    <col min="5" max="5" width="23.42578125" customWidth="1"/>
    <col min="6" max="6" width="1.7109375" customWidth="1"/>
    <col min="7" max="7" width="21.42578125" bestFit="1" customWidth="1"/>
    <col min="8" max="16384" width="11.42578125" hidden="1"/>
  </cols>
  <sheetData>
    <row r="1" spans="2:9" ht="35.1" customHeight="1">
      <c r="B1" s="1079" t="s">
        <v>368</v>
      </c>
      <c r="C1" s="1120"/>
      <c r="D1" s="1092"/>
      <c r="E1" s="1092"/>
      <c r="G1" s="464" t="s">
        <v>269</v>
      </c>
    </row>
    <row r="2" spans="2:9" ht="15.75">
      <c r="B2" s="16"/>
      <c r="C2" s="5"/>
    </row>
    <row r="3" spans="2:9">
      <c r="B3" s="17" t="s">
        <v>75</v>
      </c>
      <c r="C3" s="1111" t="s">
        <v>272</v>
      </c>
      <c r="D3" s="1121"/>
      <c r="E3" s="1122"/>
    </row>
    <row r="4" spans="2:9">
      <c r="B4" s="17" t="s">
        <v>76</v>
      </c>
      <c r="C4" s="1123"/>
      <c r="D4" s="1124"/>
      <c r="E4" s="1125"/>
    </row>
    <row r="5" spans="2:9">
      <c r="B5" s="17" t="s">
        <v>314</v>
      </c>
      <c r="C5" s="1126">
        <v>44561</v>
      </c>
      <c r="D5" s="1127"/>
      <c r="E5" s="1128"/>
    </row>
    <row r="6" spans="2:9">
      <c r="B6" s="17" t="s">
        <v>77</v>
      </c>
      <c r="C6" s="1108"/>
      <c r="D6" s="1109"/>
      <c r="E6" s="1110"/>
    </row>
    <row r="7" spans="2:9">
      <c r="B7" s="5"/>
      <c r="C7" s="5"/>
    </row>
    <row r="8" spans="2:9">
      <c r="B8" s="17" t="s">
        <v>78</v>
      </c>
      <c r="C8" s="1111">
        <v>0.19</v>
      </c>
      <c r="D8" s="1112"/>
      <c r="E8" s="1113"/>
    </row>
    <row r="9" spans="2:9">
      <c r="B9" s="17" t="s">
        <v>79</v>
      </c>
      <c r="C9" s="1114">
        <v>0.19</v>
      </c>
      <c r="D9" s="1115"/>
      <c r="E9" s="1116"/>
    </row>
    <row r="10" spans="2:9">
      <c r="B10" s="17" t="s">
        <v>80</v>
      </c>
      <c r="C10" s="1114">
        <v>7.0000000000000007E-2</v>
      </c>
      <c r="D10" s="1115"/>
      <c r="E10" s="1116"/>
    </row>
    <row r="11" spans="2:9">
      <c r="B11" s="17" t="s">
        <v>81</v>
      </c>
      <c r="C11" s="1114">
        <v>7.0000000000000007E-2</v>
      </c>
      <c r="D11" s="1115"/>
      <c r="E11" s="1116"/>
    </row>
    <row r="12" spans="2:9" ht="30">
      <c r="B12" s="664" t="s">
        <v>365</v>
      </c>
      <c r="C12" s="1117" t="s">
        <v>356</v>
      </c>
      <c r="D12" s="1129"/>
      <c r="E12" s="1130"/>
    </row>
    <row r="13" spans="2:9" s="671" customFormat="1" ht="30">
      <c r="B13" s="664" t="s">
        <v>392</v>
      </c>
      <c r="C13" s="1117" t="s">
        <v>393</v>
      </c>
      <c r="D13" s="1118"/>
      <c r="E13" s="1119"/>
      <c r="H13" s="671" t="s">
        <v>393</v>
      </c>
      <c r="I13" s="671" t="s">
        <v>394</v>
      </c>
    </row>
    <row r="14" spans="2:9">
      <c r="B14" s="17" t="s">
        <v>82</v>
      </c>
      <c r="C14" s="1105" t="s">
        <v>316</v>
      </c>
      <c r="D14" s="1106"/>
      <c r="E14" s="1107"/>
    </row>
    <row r="15" spans="2:9"/>
  </sheetData>
  <mergeCells count="12">
    <mergeCell ref="B1:E1"/>
    <mergeCell ref="C3:E3"/>
    <mergeCell ref="C4:E4"/>
    <mergeCell ref="C5:E5"/>
    <mergeCell ref="C12:E12"/>
    <mergeCell ref="C14:E14"/>
    <mergeCell ref="C6:E6"/>
    <mergeCell ref="C8:E8"/>
    <mergeCell ref="C9:E9"/>
    <mergeCell ref="C10:E10"/>
    <mergeCell ref="C11:E11"/>
    <mergeCell ref="C13:E13"/>
  </mergeCells>
  <dataValidations count="1">
    <dataValidation type="list" allowBlank="1" showInputMessage="1" showErrorMessage="1" sqref="C13:E13" xr:uid="{C84E443D-AD10-4183-83A3-6A5A573AD85D}">
      <formula1>H13:I13</formula1>
    </dataValidation>
  </dataValidations>
  <hyperlinks>
    <hyperlink ref="G1" location="Inhaltsverzeichnis!A1" display="zum Inhaltsverzeichnis" xr:uid="{074BCAC0-28BC-427C-B8E2-06889ECE5030}"/>
  </hyperlinks>
  <pageMargins left="0.7" right="0.7" top="0.78740157499999996" bottom="0.78740157499999996" header="0.3" footer="0.3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883A-94FE-4F32-81E6-6D55F34F3CF8}">
  <sheetPr>
    <pageSetUpPr fitToPage="1"/>
  </sheetPr>
  <dimension ref="A1:K35"/>
  <sheetViews>
    <sheetView showGridLines="0" zoomScaleNormal="100" workbookViewId="0">
      <pane ySplit="7" topLeftCell="A8" activePane="bottomLeft" state="frozen"/>
      <selection pane="bottomLeft" activeCell="B2" sqref="B2:I2"/>
    </sheetView>
  </sheetViews>
  <sheetFormatPr baseColWidth="10" defaultColWidth="0" defaultRowHeight="15"/>
  <cols>
    <col min="1" max="1" width="1.7109375" style="912" customWidth="1"/>
    <col min="2" max="9" width="17.140625" style="912" customWidth="1"/>
    <col min="10" max="10" width="1.7109375" style="912" customWidth="1"/>
    <col min="11" max="11" width="21.140625" style="912" customWidth="1"/>
    <col min="12" max="16384" width="11.42578125" style="912" hidden="1"/>
  </cols>
  <sheetData>
    <row r="1" spans="2:11" ht="35.1" customHeight="1">
      <c r="B1" s="1131" t="s">
        <v>369</v>
      </c>
      <c r="C1" s="1132"/>
      <c r="D1" s="1132"/>
      <c r="E1" s="1132"/>
      <c r="F1" s="1132"/>
      <c r="G1" s="1132"/>
      <c r="H1" s="1132"/>
      <c r="I1" s="1132"/>
      <c r="K1" s="913" t="s">
        <v>269</v>
      </c>
    </row>
    <row r="2" spans="2:11" ht="15.95" customHeight="1">
      <c r="B2" s="1135" t="s">
        <v>317</v>
      </c>
      <c r="C2" s="1135"/>
      <c r="D2" s="1135"/>
      <c r="E2" s="1135"/>
      <c r="F2" s="1135"/>
      <c r="G2" s="1135"/>
      <c r="H2" s="1135"/>
      <c r="I2" s="1135"/>
      <c r="J2" s="914"/>
      <c r="K2" s="914"/>
    </row>
    <row r="3" spans="2:11" ht="15.95" customHeight="1">
      <c r="B3" s="1135" t="s">
        <v>396</v>
      </c>
      <c r="C3" s="1135"/>
      <c r="D3" s="1135"/>
      <c r="E3" s="1135"/>
      <c r="F3" s="1135"/>
      <c r="G3" s="1135"/>
      <c r="H3" s="1135"/>
      <c r="I3" s="915"/>
      <c r="J3" s="914"/>
      <c r="K3" s="914"/>
    </row>
    <row r="4" spans="2:11" ht="14.65" customHeight="1">
      <c r="B4" s="916"/>
      <c r="C4" s="917"/>
      <c r="D4" s="917"/>
      <c r="E4" s="917"/>
      <c r="F4" s="917"/>
      <c r="G4" s="917"/>
      <c r="H4" s="917"/>
      <c r="I4" s="19" t="s">
        <v>314</v>
      </c>
    </row>
    <row r="5" spans="2:11" ht="14.1" customHeight="1">
      <c r="B5" s="18" t="s">
        <v>75</v>
      </c>
      <c r="C5" s="1133" t="str">
        <f>Mandantendaten!C3</f>
        <v>Max Mustermann</v>
      </c>
      <c r="D5" s="1134"/>
      <c r="E5" s="1134"/>
      <c r="F5" s="1134"/>
      <c r="G5" s="1134"/>
      <c r="I5" s="899">
        <f>Mandantendaten!C5</f>
        <v>44561</v>
      </c>
    </row>
    <row r="6" spans="2:11">
      <c r="B6" s="21"/>
      <c r="C6" s="897"/>
      <c r="D6" s="23"/>
      <c r="E6" s="24"/>
      <c r="F6" s="24"/>
      <c r="G6" s="24"/>
      <c r="H6" s="24"/>
      <c r="I6" s="25"/>
    </row>
    <row r="7" spans="2:11">
      <c r="B7" s="26" t="s">
        <v>83</v>
      </c>
      <c r="C7" s="27" t="s">
        <v>84</v>
      </c>
      <c r="D7" s="28" t="s">
        <v>85</v>
      </c>
      <c r="E7" s="28" t="s">
        <v>86</v>
      </c>
      <c r="F7" s="28" t="s">
        <v>87</v>
      </c>
      <c r="G7" s="918" t="s">
        <v>516</v>
      </c>
      <c r="H7" s="28" t="s">
        <v>88</v>
      </c>
      <c r="I7" s="28" t="s">
        <v>89</v>
      </c>
    </row>
    <row r="8" spans="2:11">
      <c r="B8" s="449" t="s">
        <v>90</v>
      </c>
      <c r="C8" s="461">
        <v>10400</v>
      </c>
      <c r="D8" s="126">
        <v>44497</v>
      </c>
      <c r="E8" s="450">
        <v>10000</v>
      </c>
      <c r="F8" s="126">
        <v>44505</v>
      </c>
      <c r="G8" s="451">
        <v>5000</v>
      </c>
      <c r="H8" s="459">
        <f>IF(F8="","noch offen",F8-D8)</f>
        <v>8</v>
      </c>
      <c r="I8" s="460">
        <f>E8-G8</f>
        <v>5000</v>
      </c>
    </row>
    <row r="9" spans="2:11">
      <c r="B9" s="452" t="s">
        <v>556</v>
      </c>
      <c r="C9" s="462">
        <v>10500</v>
      </c>
      <c r="D9" s="128">
        <v>44484</v>
      </c>
      <c r="E9" s="453">
        <v>7500</v>
      </c>
      <c r="F9" s="128">
        <v>44499</v>
      </c>
      <c r="G9" s="454">
        <v>7500</v>
      </c>
      <c r="H9" s="459">
        <f t="shared" ref="H9:H33" si="0">IF(F9="","noch offen",F9-D9)</f>
        <v>15</v>
      </c>
      <c r="I9" s="460">
        <f t="shared" ref="I9:I33" si="1">E9-G9</f>
        <v>0</v>
      </c>
    </row>
    <row r="10" spans="2:11">
      <c r="B10" s="452"/>
      <c r="C10" s="462"/>
      <c r="D10" s="128"/>
      <c r="E10" s="453"/>
      <c r="F10" s="128"/>
      <c r="G10" s="454"/>
      <c r="H10" s="459" t="str">
        <f t="shared" si="0"/>
        <v>noch offen</v>
      </c>
      <c r="I10" s="460">
        <f t="shared" si="1"/>
        <v>0</v>
      </c>
    </row>
    <row r="11" spans="2:11">
      <c r="B11" s="452"/>
      <c r="C11" s="41"/>
      <c r="D11" s="128"/>
      <c r="E11" s="453"/>
      <c r="F11" s="128"/>
      <c r="G11" s="454"/>
      <c r="H11" s="459" t="str">
        <f t="shared" si="0"/>
        <v>noch offen</v>
      </c>
      <c r="I11" s="460">
        <f t="shared" si="1"/>
        <v>0</v>
      </c>
    </row>
    <row r="12" spans="2:11">
      <c r="B12" s="452"/>
      <c r="C12" s="41"/>
      <c r="D12" s="128"/>
      <c r="E12" s="453"/>
      <c r="F12" s="128"/>
      <c r="G12" s="454"/>
      <c r="H12" s="459" t="str">
        <f t="shared" si="0"/>
        <v>noch offen</v>
      </c>
      <c r="I12" s="460">
        <f t="shared" si="1"/>
        <v>0</v>
      </c>
    </row>
    <row r="13" spans="2:11">
      <c r="B13" s="452"/>
      <c r="C13" s="41"/>
      <c r="D13" s="128"/>
      <c r="E13" s="453"/>
      <c r="F13" s="128"/>
      <c r="G13" s="454"/>
      <c r="H13" s="459" t="str">
        <f t="shared" si="0"/>
        <v>noch offen</v>
      </c>
      <c r="I13" s="460">
        <f t="shared" si="1"/>
        <v>0</v>
      </c>
    </row>
    <row r="14" spans="2:11">
      <c r="B14" s="452"/>
      <c r="C14" s="41"/>
      <c r="D14" s="128"/>
      <c r="E14" s="453"/>
      <c r="F14" s="128"/>
      <c r="G14" s="454"/>
      <c r="H14" s="459" t="str">
        <f t="shared" si="0"/>
        <v>noch offen</v>
      </c>
      <c r="I14" s="460">
        <f t="shared" si="1"/>
        <v>0</v>
      </c>
    </row>
    <row r="15" spans="2:11">
      <c r="B15" s="452"/>
      <c r="C15" s="41"/>
      <c r="D15" s="128"/>
      <c r="E15" s="453"/>
      <c r="F15" s="128"/>
      <c r="G15" s="454"/>
      <c r="H15" s="459" t="str">
        <f t="shared" si="0"/>
        <v>noch offen</v>
      </c>
      <c r="I15" s="460">
        <f t="shared" si="1"/>
        <v>0</v>
      </c>
    </row>
    <row r="16" spans="2:11">
      <c r="B16" s="452"/>
      <c r="C16" s="41"/>
      <c r="D16" s="128"/>
      <c r="E16" s="453"/>
      <c r="F16" s="128"/>
      <c r="G16" s="454"/>
      <c r="H16" s="459" t="str">
        <f t="shared" si="0"/>
        <v>noch offen</v>
      </c>
      <c r="I16" s="460">
        <f t="shared" si="1"/>
        <v>0</v>
      </c>
    </row>
    <row r="17" spans="2:9">
      <c r="B17" s="452"/>
      <c r="C17" s="41"/>
      <c r="D17" s="128"/>
      <c r="E17" s="453"/>
      <c r="F17" s="128"/>
      <c r="G17" s="454"/>
      <c r="H17" s="459" t="str">
        <f t="shared" si="0"/>
        <v>noch offen</v>
      </c>
      <c r="I17" s="460">
        <f t="shared" si="1"/>
        <v>0</v>
      </c>
    </row>
    <row r="18" spans="2:9">
      <c r="B18" s="452"/>
      <c r="C18" s="41"/>
      <c r="D18" s="128"/>
      <c r="E18" s="453"/>
      <c r="F18" s="128"/>
      <c r="G18" s="454"/>
      <c r="H18" s="459" t="str">
        <f t="shared" si="0"/>
        <v>noch offen</v>
      </c>
      <c r="I18" s="460">
        <f t="shared" si="1"/>
        <v>0</v>
      </c>
    </row>
    <row r="19" spans="2:9">
      <c r="B19" s="452"/>
      <c r="C19" s="41"/>
      <c r="D19" s="128"/>
      <c r="E19" s="453"/>
      <c r="F19" s="128"/>
      <c r="G19" s="454"/>
      <c r="H19" s="459" t="str">
        <f t="shared" si="0"/>
        <v>noch offen</v>
      </c>
      <c r="I19" s="460">
        <f t="shared" si="1"/>
        <v>0</v>
      </c>
    </row>
    <row r="20" spans="2:9">
      <c r="B20" s="452"/>
      <c r="C20" s="41"/>
      <c r="D20" s="128"/>
      <c r="E20" s="453"/>
      <c r="F20" s="128"/>
      <c r="G20" s="454"/>
      <c r="H20" s="459" t="str">
        <f t="shared" si="0"/>
        <v>noch offen</v>
      </c>
      <c r="I20" s="460">
        <f t="shared" si="1"/>
        <v>0</v>
      </c>
    </row>
    <row r="21" spans="2:9">
      <c r="B21" s="452"/>
      <c r="C21" s="41"/>
      <c r="D21" s="128"/>
      <c r="E21" s="453"/>
      <c r="F21" s="128"/>
      <c r="G21" s="454"/>
      <c r="H21" s="459" t="str">
        <f t="shared" si="0"/>
        <v>noch offen</v>
      </c>
      <c r="I21" s="460">
        <f t="shared" si="1"/>
        <v>0</v>
      </c>
    </row>
    <row r="22" spans="2:9">
      <c r="B22" s="452"/>
      <c r="C22" s="41"/>
      <c r="D22" s="128"/>
      <c r="E22" s="453"/>
      <c r="F22" s="128"/>
      <c r="G22" s="454"/>
      <c r="H22" s="459" t="str">
        <f t="shared" si="0"/>
        <v>noch offen</v>
      </c>
      <c r="I22" s="460">
        <f t="shared" si="1"/>
        <v>0</v>
      </c>
    </row>
    <row r="23" spans="2:9">
      <c r="B23" s="452"/>
      <c r="C23" s="41"/>
      <c r="D23" s="128"/>
      <c r="E23" s="453"/>
      <c r="F23" s="128"/>
      <c r="G23" s="454"/>
      <c r="H23" s="459" t="str">
        <f t="shared" si="0"/>
        <v>noch offen</v>
      </c>
      <c r="I23" s="460">
        <f t="shared" si="1"/>
        <v>0</v>
      </c>
    </row>
    <row r="24" spans="2:9">
      <c r="B24" s="452"/>
      <c r="C24" s="41"/>
      <c r="D24" s="128"/>
      <c r="E24" s="453"/>
      <c r="F24" s="128"/>
      <c r="G24" s="454"/>
      <c r="H24" s="459" t="str">
        <f t="shared" si="0"/>
        <v>noch offen</v>
      </c>
      <c r="I24" s="460">
        <f t="shared" si="1"/>
        <v>0</v>
      </c>
    </row>
    <row r="25" spans="2:9">
      <c r="B25" s="452"/>
      <c r="C25" s="41"/>
      <c r="D25" s="128"/>
      <c r="E25" s="453"/>
      <c r="F25" s="128"/>
      <c r="G25" s="454"/>
      <c r="H25" s="459" t="str">
        <f t="shared" si="0"/>
        <v>noch offen</v>
      </c>
      <c r="I25" s="460">
        <f t="shared" si="1"/>
        <v>0</v>
      </c>
    </row>
    <row r="26" spans="2:9">
      <c r="B26" s="452"/>
      <c r="C26" s="41"/>
      <c r="D26" s="128"/>
      <c r="E26" s="453"/>
      <c r="F26" s="128"/>
      <c r="G26" s="454"/>
      <c r="H26" s="459" t="str">
        <f t="shared" si="0"/>
        <v>noch offen</v>
      </c>
      <c r="I26" s="460">
        <f t="shared" si="1"/>
        <v>0</v>
      </c>
    </row>
    <row r="27" spans="2:9">
      <c r="B27" s="452"/>
      <c r="C27" s="41"/>
      <c r="D27" s="128"/>
      <c r="E27" s="453"/>
      <c r="F27" s="128"/>
      <c r="G27" s="454"/>
      <c r="H27" s="459" t="str">
        <f t="shared" si="0"/>
        <v>noch offen</v>
      </c>
      <c r="I27" s="460">
        <f t="shared" si="1"/>
        <v>0</v>
      </c>
    </row>
    <row r="28" spans="2:9">
      <c r="B28" s="452"/>
      <c r="C28" s="41"/>
      <c r="D28" s="128"/>
      <c r="E28" s="453"/>
      <c r="F28" s="128"/>
      <c r="G28" s="454"/>
      <c r="H28" s="459" t="str">
        <f t="shared" si="0"/>
        <v>noch offen</v>
      </c>
      <c r="I28" s="460">
        <f t="shared" si="1"/>
        <v>0</v>
      </c>
    </row>
    <row r="29" spans="2:9">
      <c r="B29" s="452"/>
      <c r="C29" s="41"/>
      <c r="D29" s="128"/>
      <c r="E29" s="453"/>
      <c r="F29" s="128"/>
      <c r="G29" s="454"/>
      <c r="H29" s="459" t="str">
        <f t="shared" si="0"/>
        <v>noch offen</v>
      </c>
      <c r="I29" s="460">
        <f t="shared" si="1"/>
        <v>0</v>
      </c>
    </row>
    <row r="30" spans="2:9">
      <c r="B30" s="452"/>
      <c r="C30" s="41"/>
      <c r="D30" s="128"/>
      <c r="E30" s="453"/>
      <c r="F30" s="128"/>
      <c r="G30" s="454"/>
      <c r="H30" s="459" t="str">
        <f t="shared" si="0"/>
        <v>noch offen</v>
      </c>
      <c r="I30" s="460">
        <f t="shared" si="1"/>
        <v>0</v>
      </c>
    </row>
    <row r="31" spans="2:9">
      <c r="B31" s="452"/>
      <c r="C31" s="41"/>
      <c r="D31" s="128"/>
      <c r="E31" s="453"/>
      <c r="F31" s="128"/>
      <c r="G31" s="454"/>
      <c r="H31" s="459" t="str">
        <f t="shared" si="0"/>
        <v>noch offen</v>
      </c>
      <c r="I31" s="460">
        <f t="shared" si="1"/>
        <v>0</v>
      </c>
    </row>
    <row r="32" spans="2:9">
      <c r="B32" s="452"/>
      <c r="C32" s="41"/>
      <c r="D32" s="128"/>
      <c r="E32" s="453"/>
      <c r="F32" s="128"/>
      <c r="G32" s="454"/>
      <c r="H32" s="459" t="str">
        <f t="shared" si="0"/>
        <v>noch offen</v>
      </c>
      <c r="I32" s="460">
        <f t="shared" si="1"/>
        <v>0</v>
      </c>
    </row>
    <row r="33" spans="2:9">
      <c r="B33" s="455"/>
      <c r="C33" s="46"/>
      <c r="D33" s="130"/>
      <c r="E33" s="456"/>
      <c r="F33" s="130"/>
      <c r="G33" s="457"/>
      <c r="H33" s="459" t="str">
        <f t="shared" si="0"/>
        <v>noch offen</v>
      </c>
      <c r="I33" s="460">
        <f t="shared" si="1"/>
        <v>0</v>
      </c>
    </row>
    <row r="34" spans="2:9">
      <c r="B34" s="919"/>
      <c r="C34" s="920"/>
      <c r="D34" s="921"/>
      <c r="E34" s="922"/>
      <c r="F34" s="922"/>
      <c r="G34" s="922"/>
      <c r="H34" s="923"/>
      <c r="I34" s="39"/>
    </row>
    <row r="35" spans="2:9">
      <c r="B35" s="924" t="s">
        <v>91</v>
      </c>
      <c r="C35" s="925"/>
      <c r="D35" s="926"/>
      <c r="E35" s="927"/>
      <c r="F35" s="927"/>
      <c r="G35" s="927"/>
      <c r="H35" s="58"/>
      <c r="I35" s="463">
        <f>SUM(I8:I33)</f>
        <v>5000</v>
      </c>
    </row>
  </sheetData>
  <sheetProtection algorithmName="SHA-512" hashValue="nLPJXfOUFTh+ykNQHGFMiil0b6h8IfrqYf4pSTAuQ8FvDiRuGuqunfOu2VwweHbzMAARpBB+3jdiHW9E2uCYkw==" saltValue="KTtNJifSSR6oJNJQKusDHg==" spinCount="100000" sheet="1" objects="1" scenarios="1"/>
  <mergeCells count="4">
    <mergeCell ref="B1:I1"/>
    <mergeCell ref="C5:G5"/>
    <mergeCell ref="B2:I2"/>
    <mergeCell ref="B3:H3"/>
  </mergeCells>
  <hyperlinks>
    <hyperlink ref="K1" location="Inhaltsverzeichnis!A1" display="zum Inhaltsverzeichnis" xr:uid="{D8077E97-1DC3-4ABE-92C4-4751603EAF16}"/>
  </hyperlinks>
  <pageMargins left="0.7" right="0.7" top="0.78740157499999996" bottom="0.78740157499999996" header="0.3" footer="0.3"/>
  <pageSetup paperSize="9" scale="91" orientation="landscape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E023-D9D8-4A05-89B7-BEFF55A2DC9B}">
  <sheetPr>
    <pageSetUpPr fitToPage="1"/>
  </sheetPr>
  <dimension ref="A1:Q39"/>
  <sheetViews>
    <sheetView showGridLines="0" zoomScaleNormal="100" workbookViewId="0">
      <pane ySplit="8" topLeftCell="A9" activePane="bottomLeft" state="frozen"/>
      <selection pane="bottomLeft" activeCell="F2" sqref="F2:K2"/>
    </sheetView>
  </sheetViews>
  <sheetFormatPr baseColWidth="10" defaultColWidth="0" defaultRowHeight="15" zeroHeight="1"/>
  <cols>
    <col min="1" max="1" width="1.7109375" style="929" customWidth="1"/>
    <col min="2" max="2" width="30.42578125" style="929" customWidth="1"/>
    <col min="3" max="3" width="14.85546875" style="929" customWidth="1"/>
    <col min="4" max="4" width="12.85546875" style="929" customWidth="1"/>
    <col min="5" max="5" width="15" style="929" customWidth="1"/>
    <col min="6" max="6" width="13.5703125" style="929" customWidth="1"/>
    <col min="7" max="7" width="13" style="929" customWidth="1"/>
    <col min="8" max="10" width="14.85546875" style="929" customWidth="1"/>
    <col min="11" max="11" width="16.85546875" style="929" customWidth="1"/>
    <col min="12" max="12" width="14.85546875" style="929" customWidth="1"/>
    <col min="13" max="13" width="16.42578125" style="929" customWidth="1"/>
    <col min="14" max="14" width="15.28515625" style="929" customWidth="1"/>
    <col min="15" max="15" width="14.28515625" style="929" customWidth="1"/>
    <col min="16" max="16" width="1.7109375" style="929" customWidth="1"/>
    <col min="17" max="17" width="21.42578125" style="929" customWidth="1"/>
    <col min="18" max="16384" width="11.42578125" style="929" hidden="1"/>
  </cols>
  <sheetData>
    <row r="1" spans="2:17" ht="35.1" customHeight="1">
      <c r="B1" s="1131" t="s">
        <v>370</v>
      </c>
      <c r="C1" s="1149"/>
      <c r="D1" s="1149"/>
      <c r="E1" s="1149"/>
      <c r="F1" s="1149"/>
      <c r="G1" s="1149"/>
      <c r="H1" s="1149"/>
      <c r="I1" s="1149"/>
      <c r="J1" s="928"/>
      <c r="K1" s="928"/>
      <c r="L1" s="928"/>
      <c r="M1" s="928"/>
      <c r="N1" s="928"/>
      <c r="O1" s="928"/>
      <c r="Q1" s="930" t="s">
        <v>269</v>
      </c>
    </row>
    <row r="2" spans="2:17">
      <c r="B2" s="1135" t="s">
        <v>318</v>
      </c>
      <c r="C2" s="1148"/>
      <c r="D2" s="1148"/>
      <c r="E2" s="1148"/>
      <c r="F2" s="1155" t="s">
        <v>578</v>
      </c>
      <c r="G2" s="1155"/>
      <c r="H2" s="1155"/>
      <c r="I2" s="1155"/>
      <c r="J2" s="1092"/>
      <c r="K2" s="1092"/>
      <c r="L2" s="915"/>
      <c r="M2" s="915"/>
      <c r="N2" s="915"/>
      <c r="O2" s="915"/>
      <c r="Q2" s="930"/>
    </row>
    <row r="3" spans="2:17">
      <c r="B3" s="1135" t="s">
        <v>396</v>
      </c>
      <c r="C3" s="1148"/>
      <c r="D3" s="1148"/>
      <c r="E3" s="1148"/>
      <c r="F3" s="1155" t="s">
        <v>577</v>
      </c>
      <c r="G3" s="1155"/>
      <c r="H3" s="1155"/>
      <c r="I3" s="1155"/>
      <c r="J3" s="1155"/>
      <c r="K3" s="1155"/>
      <c r="L3" s="1092"/>
      <c r="M3" s="1092"/>
      <c r="N3" s="915"/>
      <c r="O3" s="915"/>
      <c r="Q3" s="930"/>
    </row>
    <row r="4" spans="2:17">
      <c r="E4" s="931"/>
      <c r="F4" s="931"/>
      <c r="G4" s="931"/>
      <c r="H4" s="931"/>
      <c r="I4" s="931"/>
      <c r="J4" s="931"/>
      <c r="K4" s="931"/>
      <c r="L4" s="931"/>
      <c r="M4" s="931"/>
      <c r="N4" s="915"/>
      <c r="O4" s="915"/>
      <c r="Q4" s="930"/>
    </row>
    <row r="5" spans="2:17">
      <c r="B5" s="557" t="s">
        <v>75</v>
      </c>
      <c r="C5" s="1153" t="str">
        <f>Mandantendaten!C3</f>
        <v>Max Mustermann</v>
      </c>
      <c r="D5" s="1153"/>
      <c r="E5" s="1154"/>
      <c r="F5" s="1154"/>
      <c r="G5" s="1154"/>
      <c r="H5" s="1154"/>
      <c r="I5" s="1154"/>
      <c r="O5" s="558">
        <f>Mandantendaten!C5</f>
        <v>44561</v>
      </c>
    </row>
    <row r="6" spans="2:17">
      <c r="B6" s="559"/>
      <c r="C6" s="560"/>
      <c r="D6" s="560"/>
      <c r="E6" s="561"/>
      <c r="F6" s="562"/>
      <c r="G6" s="562"/>
      <c r="H6" s="562"/>
      <c r="I6" s="562"/>
      <c r="J6" s="562"/>
      <c r="K6" s="562"/>
      <c r="L6" s="562"/>
      <c r="M6" s="563"/>
      <c r="N6" s="563"/>
      <c r="O6" s="563"/>
    </row>
    <row r="7" spans="2:17">
      <c r="B7" s="1138" t="s">
        <v>83</v>
      </c>
      <c r="C7" s="1140" t="s">
        <v>84</v>
      </c>
      <c r="D7" s="1142" t="s">
        <v>85</v>
      </c>
      <c r="E7" s="1146" t="s">
        <v>92</v>
      </c>
      <c r="F7" s="1146" t="s">
        <v>93</v>
      </c>
      <c r="G7" s="1144" t="s">
        <v>177</v>
      </c>
      <c r="H7" s="1144" t="s">
        <v>94</v>
      </c>
      <c r="I7" s="1144" t="s">
        <v>268</v>
      </c>
      <c r="J7" s="1150" t="s">
        <v>510</v>
      </c>
      <c r="K7" s="1152" t="s">
        <v>390</v>
      </c>
      <c r="L7" s="1152"/>
      <c r="M7" s="1156" t="s">
        <v>391</v>
      </c>
      <c r="N7" s="1152"/>
      <c r="O7" s="1136" t="s">
        <v>511</v>
      </c>
    </row>
    <row r="8" spans="2:17" ht="30">
      <c r="B8" s="1139"/>
      <c r="C8" s="1141"/>
      <c r="D8" s="1143"/>
      <c r="E8" s="1147"/>
      <c r="F8" s="1147"/>
      <c r="G8" s="1145"/>
      <c r="H8" s="1145"/>
      <c r="I8" s="1145"/>
      <c r="J8" s="1151"/>
      <c r="K8" s="852" t="s">
        <v>513</v>
      </c>
      <c r="L8" s="852" t="s">
        <v>509</v>
      </c>
      <c r="M8" s="853" t="s">
        <v>513</v>
      </c>
      <c r="N8" s="852" t="s">
        <v>509</v>
      </c>
      <c r="O8" s="1137"/>
    </row>
    <row r="9" spans="2:17">
      <c r="B9" s="449" t="s">
        <v>90</v>
      </c>
      <c r="C9" s="688">
        <v>10400</v>
      </c>
      <c r="D9" s="689">
        <v>44497</v>
      </c>
      <c r="E9" s="894">
        <v>1000</v>
      </c>
      <c r="F9" s="691"/>
      <c r="G9" s="692">
        <v>1.05</v>
      </c>
      <c r="H9" s="854">
        <v>1</v>
      </c>
      <c r="I9" s="855">
        <v>0.95</v>
      </c>
      <c r="J9" s="812">
        <f>E9*G9</f>
        <v>1050</v>
      </c>
      <c r="K9" s="812">
        <f>H9*E9</f>
        <v>1000</v>
      </c>
      <c r="L9" s="812">
        <f>K9-J9</f>
        <v>-50</v>
      </c>
      <c r="M9" s="812">
        <f>IF(AND(H9&lt;G9,I9&lt;G9,Mandantendaten!$C$13="Ja"),E9*H9,J9)</f>
        <v>1000</v>
      </c>
      <c r="N9" s="812">
        <f>M9-J9</f>
        <v>-50</v>
      </c>
      <c r="O9" s="932">
        <f>M9-K9</f>
        <v>0</v>
      </c>
    </row>
    <row r="10" spans="2:17">
      <c r="B10" s="452" t="s">
        <v>90</v>
      </c>
      <c r="C10" s="688">
        <v>10400</v>
      </c>
      <c r="D10" s="689">
        <v>44321</v>
      </c>
      <c r="E10" s="667">
        <v>2000</v>
      </c>
      <c r="F10" s="625"/>
      <c r="G10" s="623">
        <v>1.1000000000000001</v>
      </c>
      <c r="H10" s="623">
        <v>1.05</v>
      </c>
      <c r="I10" s="627">
        <v>1.1499999999999999</v>
      </c>
      <c r="J10" s="812">
        <f t="shared" ref="J10:J34" si="0">E10*G10</f>
        <v>2200</v>
      </c>
      <c r="K10" s="812">
        <f t="shared" ref="K10:K34" si="1">H10*E10</f>
        <v>2100</v>
      </c>
      <c r="L10" s="812">
        <f t="shared" ref="L10:L34" si="2">K10-J10</f>
        <v>-100</v>
      </c>
      <c r="M10" s="812">
        <f>IF(AND(H10&lt;G10,I10&lt;G10,Mandantendaten!$C$13="Ja"),E10*H10,J10)</f>
        <v>2200</v>
      </c>
      <c r="N10" s="812">
        <f t="shared" ref="N10:N34" si="3">M10-J10</f>
        <v>0</v>
      </c>
      <c r="O10" s="932">
        <f t="shared" ref="O10:O34" si="4">M10-K10</f>
        <v>100</v>
      </c>
    </row>
    <row r="11" spans="2:17">
      <c r="B11" s="565"/>
      <c r="C11" s="665"/>
      <c r="D11" s="621"/>
      <c r="E11" s="667"/>
      <c r="F11" s="625"/>
      <c r="G11" s="623"/>
      <c r="H11" s="623"/>
      <c r="I11" s="627"/>
      <c r="J11" s="812">
        <f t="shared" si="0"/>
        <v>0</v>
      </c>
      <c r="K11" s="812">
        <f t="shared" si="1"/>
        <v>0</v>
      </c>
      <c r="L11" s="812">
        <f t="shared" si="2"/>
        <v>0</v>
      </c>
      <c r="M11" s="812">
        <f>IF(AND(H11&lt;G11,I11&lt;G11,Mandantendaten!$C$13="Ja"),E11*H11,J11)</f>
        <v>0</v>
      </c>
      <c r="N11" s="812">
        <f t="shared" si="3"/>
        <v>0</v>
      </c>
      <c r="O11" s="932">
        <f t="shared" si="4"/>
        <v>0</v>
      </c>
    </row>
    <row r="12" spans="2:17">
      <c r="B12" s="565"/>
      <c r="C12" s="665"/>
      <c r="D12" s="621"/>
      <c r="E12" s="667"/>
      <c r="F12" s="625"/>
      <c r="G12" s="623"/>
      <c r="H12" s="623"/>
      <c r="I12" s="627"/>
      <c r="J12" s="812">
        <f t="shared" si="0"/>
        <v>0</v>
      </c>
      <c r="K12" s="812">
        <f t="shared" si="1"/>
        <v>0</v>
      </c>
      <c r="L12" s="812">
        <f t="shared" si="2"/>
        <v>0</v>
      </c>
      <c r="M12" s="812">
        <f>IF(AND(H12&lt;G12,I12&lt;G12,Mandantendaten!$C$13="Ja"),E12*H12,J12)</f>
        <v>0</v>
      </c>
      <c r="N12" s="812">
        <f t="shared" si="3"/>
        <v>0</v>
      </c>
      <c r="O12" s="932">
        <f t="shared" si="4"/>
        <v>0</v>
      </c>
    </row>
    <row r="13" spans="2:17">
      <c r="B13" s="565"/>
      <c r="C13" s="665"/>
      <c r="D13" s="621"/>
      <c r="E13" s="667"/>
      <c r="F13" s="625"/>
      <c r="G13" s="623"/>
      <c r="H13" s="623"/>
      <c r="I13" s="627"/>
      <c r="J13" s="812">
        <f t="shared" si="0"/>
        <v>0</v>
      </c>
      <c r="K13" s="812">
        <f t="shared" si="1"/>
        <v>0</v>
      </c>
      <c r="L13" s="812">
        <f t="shared" si="2"/>
        <v>0</v>
      </c>
      <c r="M13" s="812">
        <f>IF(AND(H13&lt;G13,I13&lt;G13,Mandantendaten!$C$13="Ja"),E13*H13,J13)</f>
        <v>0</v>
      </c>
      <c r="N13" s="812">
        <f t="shared" si="3"/>
        <v>0</v>
      </c>
      <c r="O13" s="932">
        <f t="shared" si="4"/>
        <v>0</v>
      </c>
    </row>
    <row r="14" spans="2:17">
      <c r="B14" s="565"/>
      <c r="C14" s="665"/>
      <c r="D14" s="621"/>
      <c r="E14" s="667"/>
      <c r="F14" s="625"/>
      <c r="G14" s="623"/>
      <c r="H14" s="623"/>
      <c r="I14" s="627"/>
      <c r="J14" s="812">
        <f t="shared" si="0"/>
        <v>0</v>
      </c>
      <c r="K14" s="812">
        <f t="shared" si="1"/>
        <v>0</v>
      </c>
      <c r="L14" s="812">
        <f t="shared" si="2"/>
        <v>0</v>
      </c>
      <c r="M14" s="812">
        <f>IF(AND(H14&lt;G14,I14&lt;G14,Mandantendaten!$C$13="Ja"),E14*H14,J14)</f>
        <v>0</v>
      </c>
      <c r="N14" s="812">
        <f t="shared" si="3"/>
        <v>0</v>
      </c>
      <c r="O14" s="932">
        <f t="shared" si="4"/>
        <v>0</v>
      </c>
    </row>
    <row r="15" spans="2:17">
      <c r="B15" s="565"/>
      <c r="C15" s="665"/>
      <c r="D15" s="621"/>
      <c r="E15" s="667"/>
      <c r="F15" s="625"/>
      <c r="G15" s="623"/>
      <c r="H15" s="623"/>
      <c r="I15" s="627"/>
      <c r="J15" s="812">
        <f t="shared" si="0"/>
        <v>0</v>
      </c>
      <c r="K15" s="812">
        <f t="shared" si="1"/>
        <v>0</v>
      </c>
      <c r="L15" s="812">
        <f t="shared" si="2"/>
        <v>0</v>
      </c>
      <c r="M15" s="812">
        <f>IF(AND(H15&lt;G15,I15&lt;G15,Mandantendaten!$C$13="Ja"),E15*H15,J15)</f>
        <v>0</v>
      </c>
      <c r="N15" s="812">
        <f t="shared" si="3"/>
        <v>0</v>
      </c>
      <c r="O15" s="932">
        <f t="shared" si="4"/>
        <v>0</v>
      </c>
    </row>
    <row r="16" spans="2:17">
      <c r="B16" s="565"/>
      <c r="C16" s="665"/>
      <c r="D16" s="621"/>
      <c r="E16" s="667"/>
      <c r="F16" s="625"/>
      <c r="G16" s="623"/>
      <c r="H16" s="623"/>
      <c r="I16" s="627"/>
      <c r="J16" s="812">
        <f t="shared" si="0"/>
        <v>0</v>
      </c>
      <c r="K16" s="812">
        <f t="shared" si="1"/>
        <v>0</v>
      </c>
      <c r="L16" s="812">
        <f t="shared" si="2"/>
        <v>0</v>
      </c>
      <c r="M16" s="812">
        <f>IF(AND(H16&lt;G16,I16&lt;G16,Mandantendaten!$C$13="Ja"),E16*H16,J16)</f>
        <v>0</v>
      </c>
      <c r="N16" s="812">
        <f t="shared" si="3"/>
        <v>0</v>
      </c>
      <c r="O16" s="932">
        <f t="shared" si="4"/>
        <v>0</v>
      </c>
    </row>
    <row r="17" spans="2:15">
      <c r="B17" s="565"/>
      <c r="C17" s="665"/>
      <c r="D17" s="621"/>
      <c r="E17" s="667"/>
      <c r="F17" s="625"/>
      <c r="G17" s="623"/>
      <c r="H17" s="623"/>
      <c r="I17" s="627"/>
      <c r="J17" s="812">
        <f t="shared" si="0"/>
        <v>0</v>
      </c>
      <c r="K17" s="812">
        <f t="shared" si="1"/>
        <v>0</v>
      </c>
      <c r="L17" s="812">
        <f t="shared" si="2"/>
        <v>0</v>
      </c>
      <c r="M17" s="812">
        <f>IF(AND(H17&lt;G17,I17&lt;G17,Mandantendaten!$C$13="Ja"),E17*H17,J17)</f>
        <v>0</v>
      </c>
      <c r="N17" s="812">
        <f t="shared" si="3"/>
        <v>0</v>
      </c>
      <c r="O17" s="932">
        <f t="shared" si="4"/>
        <v>0</v>
      </c>
    </row>
    <row r="18" spans="2:15">
      <c r="B18" s="565"/>
      <c r="C18" s="665"/>
      <c r="D18" s="621"/>
      <c r="E18" s="667"/>
      <c r="F18" s="625"/>
      <c r="G18" s="623"/>
      <c r="H18" s="623"/>
      <c r="I18" s="627"/>
      <c r="J18" s="812">
        <f t="shared" si="0"/>
        <v>0</v>
      </c>
      <c r="K18" s="812">
        <f t="shared" si="1"/>
        <v>0</v>
      </c>
      <c r="L18" s="812">
        <f t="shared" si="2"/>
        <v>0</v>
      </c>
      <c r="M18" s="812">
        <f>IF(AND(H18&lt;G18,I18&lt;G18,Mandantendaten!$C$13="Ja"),E18*H18,J18)</f>
        <v>0</v>
      </c>
      <c r="N18" s="812">
        <f t="shared" si="3"/>
        <v>0</v>
      </c>
      <c r="O18" s="932">
        <f t="shared" si="4"/>
        <v>0</v>
      </c>
    </row>
    <row r="19" spans="2:15">
      <c r="B19" s="565"/>
      <c r="C19" s="665"/>
      <c r="D19" s="621"/>
      <c r="E19" s="667"/>
      <c r="F19" s="625"/>
      <c r="G19" s="623"/>
      <c r="H19" s="623"/>
      <c r="I19" s="627"/>
      <c r="J19" s="812">
        <f t="shared" si="0"/>
        <v>0</v>
      </c>
      <c r="K19" s="812">
        <f t="shared" si="1"/>
        <v>0</v>
      </c>
      <c r="L19" s="812">
        <f t="shared" si="2"/>
        <v>0</v>
      </c>
      <c r="M19" s="812">
        <f>IF(AND(H19&lt;G19,I19&lt;G19,Mandantendaten!$C$13="Ja"),E19*H19,J19)</f>
        <v>0</v>
      </c>
      <c r="N19" s="812">
        <f t="shared" si="3"/>
        <v>0</v>
      </c>
      <c r="O19" s="932">
        <f t="shared" si="4"/>
        <v>0</v>
      </c>
    </row>
    <row r="20" spans="2:15">
      <c r="B20" s="565"/>
      <c r="C20" s="665"/>
      <c r="D20" s="621"/>
      <c r="E20" s="667"/>
      <c r="F20" s="625"/>
      <c r="G20" s="623"/>
      <c r="H20" s="623"/>
      <c r="I20" s="627"/>
      <c r="J20" s="812">
        <f t="shared" si="0"/>
        <v>0</v>
      </c>
      <c r="K20" s="812">
        <f t="shared" si="1"/>
        <v>0</v>
      </c>
      <c r="L20" s="812">
        <f t="shared" si="2"/>
        <v>0</v>
      </c>
      <c r="M20" s="812">
        <f>IF(AND(H20&lt;G20,I20&lt;G20,Mandantendaten!$C$13="Ja"),E20*H20,J20)</f>
        <v>0</v>
      </c>
      <c r="N20" s="812">
        <f t="shared" si="3"/>
        <v>0</v>
      </c>
      <c r="O20" s="932">
        <f t="shared" si="4"/>
        <v>0</v>
      </c>
    </row>
    <row r="21" spans="2:15">
      <c r="B21" s="565"/>
      <c r="C21" s="665"/>
      <c r="D21" s="621"/>
      <c r="E21" s="667"/>
      <c r="F21" s="625"/>
      <c r="G21" s="623"/>
      <c r="H21" s="623"/>
      <c r="I21" s="627"/>
      <c r="J21" s="812">
        <f t="shared" si="0"/>
        <v>0</v>
      </c>
      <c r="K21" s="812">
        <f t="shared" si="1"/>
        <v>0</v>
      </c>
      <c r="L21" s="812">
        <f t="shared" si="2"/>
        <v>0</v>
      </c>
      <c r="M21" s="812">
        <f>IF(AND(H21&lt;G21,I21&lt;G21,Mandantendaten!$C$13="Ja"),E21*H21,J21)</f>
        <v>0</v>
      </c>
      <c r="N21" s="812">
        <f t="shared" si="3"/>
        <v>0</v>
      </c>
      <c r="O21" s="932">
        <f t="shared" si="4"/>
        <v>0</v>
      </c>
    </row>
    <row r="22" spans="2:15">
      <c r="B22" s="565"/>
      <c r="C22" s="665"/>
      <c r="D22" s="621"/>
      <c r="E22" s="667"/>
      <c r="F22" s="625"/>
      <c r="G22" s="623"/>
      <c r="H22" s="623"/>
      <c r="I22" s="627"/>
      <c r="J22" s="812">
        <f t="shared" si="0"/>
        <v>0</v>
      </c>
      <c r="K22" s="812">
        <f t="shared" si="1"/>
        <v>0</v>
      </c>
      <c r="L22" s="812">
        <f t="shared" si="2"/>
        <v>0</v>
      </c>
      <c r="M22" s="812">
        <f>IF(AND(H22&lt;G22,I22&lt;G22,Mandantendaten!$C$13="Ja"),E22*H22,J22)</f>
        <v>0</v>
      </c>
      <c r="N22" s="812">
        <f t="shared" si="3"/>
        <v>0</v>
      </c>
      <c r="O22" s="932">
        <f t="shared" si="4"/>
        <v>0</v>
      </c>
    </row>
    <row r="23" spans="2:15">
      <c r="B23" s="565"/>
      <c r="C23" s="665"/>
      <c r="D23" s="621"/>
      <c r="E23" s="667"/>
      <c r="F23" s="625"/>
      <c r="G23" s="623"/>
      <c r="H23" s="623"/>
      <c r="I23" s="627"/>
      <c r="J23" s="812">
        <f t="shared" si="0"/>
        <v>0</v>
      </c>
      <c r="K23" s="812">
        <f t="shared" si="1"/>
        <v>0</v>
      </c>
      <c r="L23" s="812">
        <f t="shared" si="2"/>
        <v>0</v>
      </c>
      <c r="M23" s="812">
        <f>IF(AND(H23&lt;G23,I23&lt;G23,Mandantendaten!$C$13="Ja"),E23*H23,J23)</f>
        <v>0</v>
      </c>
      <c r="N23" s="812">
        <f t="shared" si="3"/>
        <v>0</v>
      </c>
      <c r="O23" s="932">
        <f t="shared" si="4"/>
        <v>0</v>
      </c>
    </row>
    <row r="24" spans="2:15">
      <c r="B24" s="565"/>
      <c r="C24" s="665"/>
      <c r="D24" s="621"/>
      <c r="E24" s="667"/>
      <c r="F24" s="625"/>
      <c r="G24" s="623"/>
      <c r="H24" s="623"/>
      <c r="I24" s="627"/>
      <c r="J24" s="812">
        <f t="shared" si="0"/>
        <v>0</v>
      </c>
      <c r="K24" s="812">
        <f t="shared" si="1"/>
        <v>0</v>
      </c>
      <c r="L24" s="812">
        <f t="shared" si="2"/>
        <v>0</v>
      </c>
      <c r="M24" s="812">
        <f>IF(AND(H24&lt;G24,I24&lt;G24,Mandantendaten!$C$13="Ja"),E24*H24,J24)</f>
        <v>0</v>
      </c>
      <c r="N24" s="812">
        <f t="shared" si="3"/>
        <v>0</v>
      </c>
      <c r="O24" s="932">
        <f t="shared" si="4"/>
        <v>0</v>
      </c>
    </row>
    <row r="25" spans="2:15">
      <c r="B25" s="565"/>
      <c r="C25" s="665"/>
      <c r="D25" s="621"/>
      <c r="E25" s="667"/>
      <c r="F25" s="625"/>
      <c r="G25" s="623"/>
      <c r="H25" s="623"/>
      <c r="I25" s="627"/>
      <c r="J25" s="812">
        <f t="shared" si="0"/>
        <v>0</v>
      </c>
      <c r="K25" s="812">
        <f t="shared" si="1"/>
        <v>0</v>
      </c>
      <c r="L25" s="812">
        <f t="shared" si="2"/>
        <v>0</v>
      </c>
      <c r="M25" s="812">
        <f>IF(AND(H25&lt;G25,I25&lt;G25,Mandantendaten!$C$13="Ja"),E25*H25,J25)</f>
        <v>0</v>
      </c>
      <c r="N25" s="812">
        <f t="shared" si="3"/>
        <v>0</v>
      </c>
      <c r="O25" s="932">
        <f t="shared" si="4"/>
        <v>0</v>
      </c>
    </row>
    <row r="26" spans="2:15">
      <c r="B26" s="565"/>
      <c r="C26" s="665"/>
      <c r="D26" s="621"/>
      <c r="E26" s="667"/>
      <c r="F26" s="625"/>
      <c r="G26" s="623"/>
      <c r="H26" s="623"/>
      <c r="I26" s="627"/>
      <c r="J26" s="812">
        <f t="shared" si="0"/>
        <v>0</v>
      </c>
      <c r="K26" s="812">
        <f t="shared" si="1"/>
        <v>0</v>
      </c>
      <c r="L26" s="812">
        <f t="shared" si="2"/>
        <v>0</v>
      </c>
      <c r="M26" s="812">
        <f>IF(AND(H26&lt;G26,I26&lt;G26,Mandantendaten!$C$13="Ja"),E26*H26,J26)</f>
        <v>0</v>
      </c>
      <c r="N26" s="812">
        <f t="shared" si="3"/>
        <v>0</v>
      </c>
      <c r="O26" s="932">
        <f t="shared" si="4"/>
        <v>0</v>
      </c>
    </row>
    <row r="27" spans="2:15">
      <c r="B27" s="565"/>
      <c r="C27" s="665"/>
      <c r="D27" s="621"/>
      <c r="E27" s="667"/>
      <c r="F27" s="625"/>
      <c r="G27" s="623"/>
      <c r="H27" s="623"/>
      <c r="I27" s="627"/>
      <c r="J27" s="812">
        <f t="shared" si="0"/>
        <v>0</v>
      </c>
      <c r="K27" s="812">
        <f t="shared" si="1"/>
        <v>0</v>
      </c>
      <c r="L27" s="812">
        <f t="shared" si="2"/>
        <v>0</v>
      </c>
      <c r="M27" s="812">
        <f>IF(AND(H27&lt;G27,I27&lt;G27,Mandantendaten!$C$13="Ja"),E27*H27,J27)</f>
        <v>0</v>
      </c>
      <c r="N27" s="812">
        <f t="shared" si="3"/>
        <v>0</v>
      </c>
      <c r="O27" s="932">
        <f t="shared" si="4"/>
        <v>0</v>
      </c>
    </row>
    <row r="28" spans="2:15">
      <c r="B28" s="565"/>
      <c r="C28" s="665"/>
      <c r="D28" s="621"/>
      <c r="E28" s="667"/>
      <c r="F28" s="625"/>
      <c r="G28" s="623"/>
      <c r="H28" s="623"/>
      <c r="I28" s="627"/>
      <c r="J28" s="812">
        <f t="shared" si="0"/>
        <v>0</v>
      </c>
      <c r="K28" s="812">
        <f t="shared" si="1"/>
        <v>0</v>
      </c>
      <c r="L28" s="812">
        <f t="shared" si="2"/>
        <v>0</v>
      </c>
      <c r="M28" s="812">
        <f>IF(AND(H28&lt;G28,I28&lt;G28,Mandantendaten!$C$13="Ja"),E28*H28,J28)</f>
        <v>0</v>
      </c>
      <c r="N28" s="812">
        <f t="shared" si="3"/>
        <v>0</v>
      </c>
      <c r="O28" s="932">
        <f t="shared" si="4"/>
        <v>0</v>
      </c>
    </row>
    <row r="29" spans="2:15">
      <c r="B29" s="565"/>
      <c r="C29" s="665"/>
      <c r="D29" s="621"/>
      <c r="E29" s="667"/>
      <c r="F29" s="625"/>
      <c r="G29" s="623"/>
      <c r="H29" s="623"/>
      <c r="I29" s="627"/>
      <c r="J29" s="812">
        <f t="shared" si="0"/>
        <v>0</v>
      </c>
      <c r="K29" s="812">
        <f t="shared" si="1"/>
        <v>0</v>
      </c>
      <c r="L29" s="812">
        <f t="shared" si="2"/>
        <v>0</v>
      </c>
      <c r="M29" s="812">
        <f>IF(AND(H29&lt;G29,I29&lt;G29,Mandantendaten!$C$13="Ja"),E29*H29,J29)</f>
        <v>0</v>
      </c>
      <c r="N29" s="812">
        <f t="shared" si="3"/>
        <v>0</v>
      </c>
      <c r="O29" s="932">
        <f t="shared" si="4"/>
        <v>0</v>
      </c>
    </row>
    <row r="30" spans="2:15">
      <c r="B30" s="565"/>
      <c r="C30" s="665"/>
      <c r="D30" s="621"/>
      <c r="E30" s="667"/>
      <c r="F30" s="625"/>
      <c r="G30" s="623"/>
      <c r="H30" s="623"/>
      <c r="I30" s="627"/>
      <c r="J30" s="812">
        <f t="shared" si="0"/>
        <v>0</v>
      </c>
      <c r="K30" s="812">
        <f t="shared" si="1"/>
        <v>0</v>
      </c>
      <c r="L30" s="812">
        <f t="shared" si="2"/>
        <v>0</v>
      </c>
      <c r="M30" s="812">
        <f>IF(AND(H30&lt;G30,I30&lt;G30,Mandantendaten!$C$13="Ja"),E30*H30,J30)</f>
        <v>0</v>
      </c>
      <c r="N30" s="812">
        <f t="shared" si="3"/>
        <v>0</v>
      </c>
      <c r="O30" s="932">
        <f t="shared" si="4"/>
        <v>0</v>
      </c>
    </row>
    <row r="31" spans="2:15">
      <c r="B31" s="565"/>
      <c r="C31" s="665"/>
      <c r="D31" s="621"/>
      <c r="E31" s="667"/>
      <c r="F31" s="625"/>
      <c r="G31" s="623"/>
      <c r="H31" s="623"/>
      <c r="I31" s="627"/>
      <c r="J31" s="812">
        <f t="shared" si="0"/>
        <v>0</v>
      </c>
      <c r="K31" s="812">
        <f t="shared" si="1"/>
        <v>0</v>
      </c>
      <c r="L31" s="812">
        <f t="shared" si="2"/>
        <v>0</v>
      </c>
      <c r="M31" s="812">
        <f>IF(AND(H31&lt;G31,I31&lt;G31,Mandantendaten!$C$13="Ja"),E31*H31,J31)</f>
        <v>0</v>
      </c>
      <c r="N31" s="812">
        <f t="shared" si="3"/>
        <v>0</v>
      </c>
      <c r="O31" s="932">
        <f t="shared" si="4"/>
        <v>0</v>
      </c>
    </row>
    <row r="32" spans="2:15">
      <c r="B32" s="565"/>
      <c r="C32" s="665"/>
      <c r="D32" s="621"/>
      <c r="E32" s="667"/>
      <c r="F32" s="625"/>
      <c r="G32" s="623"/>
      <c r="H32" s="623"/>
      <c r="I32" s="627"/>
      <c r="J32" s="812">
        <f t="shared" si="0"/>
        <v>0</v>
      </c>
      <c r="K32" s="812">
        <f t="shared" si="1"/>
        <v>0</v>
      </c>
      <c r="L32" s="812">
        <f t="shared" si="2"/>
        <v>0</v>
      </c>
      <c r="M32" s="812">
        <f>IF(AND(H32&lt;G32,I32&lt;G32,Mandantendaten!$C$13="Ja"),E32*H32,J32)</f>
        <v>0</v>
      </c>
      <c r="N32" s="812">
        <f t="shared" si="3"/>
        <v>0</v>
      </c>
      <c r="O32" s="932">
        <f t="shared" si="4"/>
        <v>0</v>
      </c>
    </row>
    <row r="33" spans="2:15">
      <c r="B33" s="565"/>
      <c r="C33" s="665"/>
      <c r="D33" s="621"/>
      <c r="E33" s="667"/>
      <c r="F33" s="625"/>
      <c r="G33" s="623"/>
      <c r="H33" s="623"/>
      <c r="I33" s="627"/>
      <c r="J33" s="812">
        <f t="shared" si="0"/>
        <v>0</v>
      </c>
      <c r="K33" s="812">
        <f t="shared" si="1"/>
        <v>0</v>
      </c>
      <c r="L33" s="812">
        <f t="shared" si="2"/>
        <v>0</v>
      </c>
      <c r="M33" s="812">
        <f>IF(AND(H33&lt;G33,I33&lt;G33,Mandantendaten!$C$13="Ja"),E33*H33,J33)</f>
        <v>0</v>
      </c>
      <c r="N33" s="812">
        <f t="shared" si="3"/>
        <v>0</v>
      </c>
      <c r="O33" s="932">
        <f t="shared" si="4"/>
        <v>0</v>
      </c>
    </row>
    <row r="34" spans="2:15">
      <c r="B34" s="566"/>
      <c r="C34" s="666"/>
      <c r="D34" s="622"/>
      <c r="E34" s="668"/>
      <c r="F34" s="626"/>
      <c r="G34" s="624"/>
      <c r="H34" s="624"/>
      <c r="I34" s="628"/>
      <c r="J34" s="813">
        <f t="shared" si="0"/>
        <v>0</v>
      </c>
      <c r="K34" s="813">
        <f t="shared" si="1"/>
        <v>0</v>
      </c>
      <c r="L34" s="813">
        <f t="shared" si="2"/>
        <v>0</v>
      </c>
      <c r="M34" s="813">
        <f>IF(AND(H34&lt;G34,I34&lt;G34,Mandantendaten!$C$13="Ja"),E34*H34,J34)</f>
        <v>0</v>
      </c>
      <c r="N34" s="813">
        <f t="shared" si="3"/>
        <v>0</v>
      </c>
      <c r="O34" s="933">
        <f t="shared" si="4"/>
        <v>0</v>
      </c>
    </row>
    <row r="35" spans="2:15">
      <c r="B35" s="934"/>
      <c r="C35" s="935"/>
      <c r="D35" s="935"/>
      <c r="E35" s="935"/>
      <c r="F35" s="935"/>
      <c r="G35" s="936"/>
      <c r="H35" s="936"/>
      <c r="I35" s="936"/>
      <c r="J35" s="937"/>
      <c r="K35" s="937"/>
      <c r="L35" s="937"/>
      <c r="M35" s="564"/>
      <c r="N35" s="564"/>
      <c r="O35" s="564"/>
    </row>
    <row r="36" spans="2:15">
      <c r="B36" s="938" t="s">
        <v>91</v>
      </c>
      <c r="C36" s="939"/>
      <c r="D36" s="939"/>
      <c r="E36" s="940"/>
      <c r="F36" s="940"/>
      <c r="G36" s="941"/>
      <c r="H36" s="941"/>
      <c r="I36" s="941"/>
      <c r="J36" s="575">
        <f t="shared" ref="J36:O36" si="5">SUM(J9:J34)</f>
        <v>3250</v>
      </c>
      <c r="K36" s="575">
        <f t="shared" si="5"/>
        <v>3100</v>
      </c>
      <c r="L36" s="575">
        <f t="shared" si="5"/>
        <v>-150</v>
      </c>
      <c r="M36" s="575">
        <f t="shared" si="5"/>
        <v>3200</v>
      </c>
      <c r="N36" s="575">
        <f t="shared" si="5"/>
        <v>-50</v>
      </c>
      <c r="O36" s="575">
        <f t="shared" si="5"/>
        <v>100</v>
      </c>
    </row>
    <row r="37" spans="2:15"/>
    <row r="38" spans="2:15"/>
    <row r="39" spans="2:15"/>
  </sheetData>
  <mergeCells count="18">
    <mergeCell ref="B3:E3"/>
    <mergeCell ref="B1:I1"/>
    <mergeCell ref="J7:J8"/>
    <mergeCell ref="K7:L7"/>
    <mergeCell ref="C5:I5"/>
    <mergeCell ref="B2:E2"/>
    <mergeCell ref="F2:K2"/>
    <mergeCell ref="F3:M3"/>
    <mergeCell ref="M7:N7"/>
    <mergeCell ref="O7:O8"/>
    <mergeCell ref="B7:B8"/>
    <mergeCell ref="C7:C8"/>
    <mergeCell ref="D7:D8"/>
    <mergeCell ref="I7:I8"/>
    <mergeCell ref="H7:H8"/>
    <mergeCell ref="G7:G8"/>
    <mergeCell ref="F7:F8"/>
    <mergeCell ref="E7:E8"/>
  </mergeCells>
  <hyperlinks>
    <hyperlink ref="Q1" location="Inhaltsverzeichnis!A1" display="zum Inhaltsverzeichnis" xr:uid="{203EE518-9547-48A9-B73D-C510F19E2F71}"/>
  </hyperlinks>
  <pageMargins left="0.7" right="0.7" top="0.78740157499999996" bottom="0.78740157499999996" header="0.3" footer="0.3"/>
  <pageSetup paperSize="9" scale="58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FCAC-129D-41DB-901F-8D089910C5D4}">
  <sheetPr>
    <pageSetUpPr fitToPage="1"/>
  </sheetPr>
  <dimension ref="A1:O63"/>
  <sheetViews>
    <sheetView showGridLines="0" zoomScaleNormal="100" workbookViewId="0">
      <pane ySplit="9" topLeftCell="A10" activePane="bottomLeft" state="frozen"/>
      <selection pane="bottomLeft" activeCell="G2" sqref="G2:I2"/>
    </sheetView>
  </sheetViews>
  <sheetFormatPr baseColWidth="10" defaultColWidth="0" defaultRowHeight="15" zeroHeight="1"/>
  <cols>
    <col min="1" max="1" width="1.7109375" style="912" customWidth="1"/>
    <col min="2" max="4" width="22.28515625" style="912" customWidth="1"/>
    <col min="5" max="5" width="22.7109375" style="912" customWidth="1"/>
    <col min="6" max="6" width="24.5703125" style="912" customWidth="1"/>
    <col min="7" max="7" width="26.42578125" style="912" customWidth="1"/>
    <col min="8" max="9" width="24.5703125" style="912" customWidth="1"/>
    <col min="10" max="10" width="22.28515625" style="912" customWidth="1"/>
    <col min="11" max="11" width="1.7109375" style="912" customWidth="1"/>
    <col min="12" max="12" width="20.28515625" style="912" customWidth="1"/>
    <col min="13" max="16384" width="11.42578125" style="912" hidden="1"/>
  </cols>
  <sheetData>
    <row r="1" spans="1:15" ht="35.1" customHeight="1">
      <c r="B1" s="1131" t="s">
        <v>371</v>
      </c>
      <c r="C1" s="1149"/>
      <c r="D1" s="1149"/>
      <c r="E1" s="1149"/>
      <c r="F1" s="1149"/>
      <c r="G1" s="1149"/>
      <c r="H1" s="928"/>
      <c r="I1" s="928"/>
      <c r="J1" s="928"/>
      <c r="L1" s="913" t="s">
        <v>270</v>
      </c>
    </row>
    <row r="2" spans="1:15" ht="14.65" customHeight="1">
      <c r="B2" s="1135" t="s">
        <v>320</v>
      </c>
      <c r="C2" s="1148"/>
      <c r="D2" s="1148"/>
      <c r="E2" s="1148"/>
      <c r="F2" s="915"/>
      <c r="G2" s="1159" t="s">
        <v>576</v>
      </c>
      <c r="H2" s="1160"/>
      <c r="I2" s="1160"/>
      <c r="J2" s="915"/>
      <c r="K2" s="942"/>
      <c r="L2" s="942"/>
      <c r="M2" s="942"/>
      <c r="N2" s="942"/>
      <c r="O2" s="942"/>
    </row>
    <row r="3" spans="1:15" ht="14.65" customHeight="1">
      <c r="B3" s="1135" t="s">
        <v>396</v>
      </c>
      <c r="C3" s="1148"/>
      <c r="D3" s="1148"/>
      <c r="E3" s="1148"/>
      <c r="F3" s="915"/>
      <c r="G3" s="1159" t="s">
        <v>579</v>
      </c>
      <c r="H3" s="1160"/>
      <c r="I3" s="1161"/>
      <c r="J3" s="915"/>
      <c r="K3" s="942"/>
      <c r="L3" s="942"/>
      <c r="M3" s="942"/>
      <c r="N3" s="942"/>
      <c r="O3" s="942"/>
    </row>
    <row r="4" spans="1:15" ht="14.65" hidden="1" customHeight="1">
      <c r="A4" s="929"/>
      <c r="C4" s="931"/>
      <c r="D4" s="931"/>
      <c r="E4" s="931"/>
      <c r="F4" s="931"/>
      <c r="G4" s="931"/>
      <c r="H4" s="931"/>
      <c r="I4" s="931"/>
      <c r="J4" s="931"/>
      <c r="K4" s="931"/>
      <c r="L4" s="931"/>
      <c r="M4" s="931"/>
      <c r="N4" s="942"/>
      <c r="O4" s="942"/>
    </row>
    <row r="5" spans="1:15" ht="14.65" hidden="1" customHeight="1">
      <c r="A5" s="929"/>
      <c r="C5" s="931"/>
      <c r="D5" s="931"/>
      <c r="E5" s="931"/>
      <c r="F5" s="931"/>
      <c r="G5" s="931"/>
      <c r="H5" s="931"/>
      <c r="I5" s="931"/>
      <c r="J5" s="931"/>
      <c r="K5" s="931"/>
      <c r="L5" s="931"/>
      <c r="M5" s="931"/>
      <c r="N5" s="942"/>
      <c r="O5" s="942"/>
    </row>
    <row r="6" spans="1:15" ht="15" customHeight="1">
      <c r="B6" s="916"/>
      <c r="C6" s="917"/>
      <c r="D6" s="917"/>
      <c r="E6" s="917"/>
      <c r="F6" s="917"/>
      <c r="G6" s="917"/>
      <c r="H6" s="917"/>
      <c r="I6" s="917"/>
      <c r="J6" s="943" t="s">
        <v>314</v>
      </c>
    </row>
    <row r="7" spans="1:15">
      <c r="B7" s="18" t="s">
        <v>75</v>
      </c>
      <c r="C7" s="1157" t="str">
        <f>Mandantendaten!C3</f>
        <v>Max Mustermann</v>
      </c>
      <c r="D7" s="1158"/>
      <c r="E7" s="1158"/>
      <c r="J7" s="64">
        <f>Mandantendaten!C5</f>
        <v>44561</v>
      </c>
    </row>
    <row r="8" spans="1:15">
      <c r="B8" s="897"/>
      <c r="C8" s="65"/>
      <c r="D8" s="25"/>
      <c r="E8" s="25"/>
      <c r="F8" s="25"/>
      <c r="G8" s="25"/>
      <c r="H8" s="25"/>
      <c r="I8" s="25"/>
      <c r="J8" s="897"/>
    </row>
    <row r="9" spans="1:15" ht="28.5" customHeight="1">
      <c r="B9" s="695" t="s">
        <v>83</v>
      </c>
      <c r="C9" s="695" t="s">
        <v>95</v>
      </c>
      <c r="D9" s="696" t="s">
        <v>539</v>
      </c>
      <c r="E9" s="697" t="s">
        <v>312</v>
      </c>
      <c r="F9" s="698" t="s">
        <v>321</v>
      </c>
      <c r="G9" s="698" t="s">
        <v>397</v>
      </c>
      <c r="H9" s="698" t="s">
        <v>514</v>
      </c>
      <c r="I9" s="698" t="s">
        <v>515</v>
      </c>
      <c r="J9" s="699" t="s">
        <v>398</v>
      </c>
    </row>
    <row r="10" spans="1:15">
      <c r="B10" s="449" t="s">
        <v>90</v>
      </c>
      <c r="C10" s="105">
        <v>10100</v>
      </c>
      <c r="D10" s="106">
        <v>119000</v>
      </c>
      <c r="E10" s="629">
        <v>0.19</v>
      </c>
      <c r="F10" s="629">
        <v>0.5</v>
      </c>
      <c r="G10" s="629" t="s">
        <v>393</v>
      </c>
      <c r="H10" s="700">
        <f t="shared" ref="H10:H32" si="0">D10/(1+E10)*F10</f>
        <v>50000</v>
      </c>
      <c r="I10" s="944">
        <f>IF(AND(Mandantendaten!$C$13="Ja",G10="Ja"),H10,0)</f>
        <v>50000</v>
      </c>
      <c r="J10" s="945">
        <f>I10-H10</f>
        <v>0</v>
      </c>
      <c r="N10" s="912" t="s">
        <v>393</v>
      </c>
      <c r="O10" s="912" t="s">
        <v>394</v>
      </c>
    </row>
    <row r="11" spans="1:15">
      <c r="B11" s="452" t="s">
        <v>90</v>
      </c>
      <c r="C11" s="111">
        <v>10100</v>
      </c>
      <c r="D11" s="112">
        <v>119000</v>
      </c>
      <c r="E11" s="630">
        <v>0.16</v>
      </c>
      <c r="F11" s="630">
        <v>0.3</v>
      </c>
      <c r="G11" s="630" t="s">
        <v>394</v>
      </c>
      <c r="H11" s="701">
        <f t="shared" si="0"/>
        <v>30775.862068965514</v>
      </c>
      <c r="I11" s="946">
        <f>IF(AND(Mandantendaten!$C$13="Ja",G11="Ja"),H11,0)</f>
        <v>0</v>
      </c>
      <c r="J11" s="947">
        <f t="shared" ref="J11:J32" si="1">I11-H11</f>
        <v>-30775.862068965514</v>
      </c>
    </row>
    <row r="12" spans="1:15">
      <c r="B12" s="109"/>
      <c r="C12" s="111"/>
      <c r="D12" s="112"/>
      <c r="E12" s="630"/>
      <c r="F12" s="630"/>
      <c r="G12" s="630"/>
      <c r="H12" s="701">
        <f t="shared" si="0"/>
        <v>0</v>
      </c>
      <c r="I12" s="946">
        <f>IF(AND(Mandantendaten!$C$13="Ja",G12="Ja"),H12,0)</f>
        <v>0</v>
      </c>
      <c r="J12" s="947">
        <f t="shared" si="1"/>
        <v>0</v>
      </c>
    </row>
    <row r="13" spans="1:15">
      <c r="B13" s="109"/>
      <c r="C13" s="111"/>
      <c r="D13" s="112"/>
      <c r="E13" s="630"/>
      <c r="F13" s="630"/>
      <c r="G13" s="630"/>
      <c r="H13" s="701">
        <f t="shared" si="0"/>
        <v>0</v>
      </c>
      <c r="I13" s="946">
        <f>IF(AND(Mandantendaten!$C$13="Ja",G13="Ja"),H13,0)</f>
        <v>0</v>
      </c>
      <c r="J13" s="947">
        <f t="shared" si="1"/>
        <v>0</v>
      </c>
    </row>
    <row r="14" spans="1:15">
      <c r="B14" s="109"/>
      <c r="C14" s="111"/>
      <c r="D14" s="112"/>
      <c r="E14" s="630"/>
      <c r="F14" s="630"/>
      <c r="G14" s="630"/>
      <c r="H14" s="701">
        <f t="shared" si="0"/>
        <v>0</v>
      </c>
      <c r="I14" s="946">
        <f>IF(AND(Mandantendaten!$C$13="Ja",G14="Ja"),H14,0)</f>
        <v>0</v>
      </c>
      <c r="J14" s="947">
        <f t="shared" si="1"/>
        <v>0</v>
      </c>
    </row>
    <row r="15" spans="1:15">
      <c r="B15" s="109"/>
      <c r="C15" s="111"/>
      <c r="D15" s="112"/>
      <c r="E15" s="630"/>
      <c r="F15" s="630"/>
      <c r="G15" s="630"/>
      <c r="H15" s="701">
        <f t="shared" si="0"/>
        <v>0</v>
      </c>
      <c r="I15" s="946">
        <f>IF(AND(Mandantendaten!$C$13="Ja",G15="Ja"),H15,0)</f>
        <v>0</v>
      </c>
      <c r="J15" s="947">
        <f t="shared" si="1"/>
        <v>0</v>
      </c>
    </row>
    <row r="16" spans="1:15">
      <c r="B16" s="109"/>
      <c r="C16" s="111"/>
      <c r="D16" s="112"/>
      <c r="E16" s="630"/>
      <c r="F16" s="630"/>
      <c r="G16" s="630"/>
      <c r="H16" s="701">
        <f t="shared" si="0"/>
        <v>0</v>
      </c>
      <c r="I16" s="946">
        <f>IF(AND(Mandantendaten!$C$13="Ja",G16="Ja"),H16,0)</f>
        <v>0</v>
      </c>
      <c r="J16" s="947">
        <f t="shared" si="1"/>
        <v>0</v>
      </c>
    </row>
    <row r="17" spans="2:10">
      <c r="B17" s="109"/>
      <c r="C17" s="111"/>
      <c r="D17" s="112"/>
      <c r="E17" s="630"/>
      <c r="F17" s="630"/>
      <c r="G17" s="630"/>
      <c r="H17" s="701">
        <f t="shared" si="0"/>
        <v>0</v>
      </c>
      <c r="I17" s="946">
        <f>IF(AND(Mandantendaten!$C$13="Ja",G17="Ja"),H17,0)</f>
        <v>0</v>
      </c>
      <c r="J17" s="947">
        <f t="shared" si="1"/>
        <v>0</v>
      </c>
    </row>
    <row r="18" spans="2:10">
      <c r="B18" s="109"/>
      <c r="C18" s="111"/>
      <c r="D18" s="112"/>
      <c r="E18" s="630"/>
      <c r="F18" s="630"/>
      <c r="G18" s="630"/>
      <c r="H18" s="701">
        <f t="shared" si="0"/>
        <v>0</v>
      </c>
      <c r="I18" s="946">
        <f>IF(AND(Mandantendaten!$C$13="Ja",G18="Ja"),H18,0)</f>
        <v>0</v>
      </c>
      <c r="J18" s="947">
        <f t="shared" si="1"/>
        <v>0</v>
      </c>
    </row>
    <row r="19" spans="2:10">
      <c r="B19" s="109"/>
      <c r="C19" s="111"/>
      <c r="D19" s="112"/>
      <c r="E19" s="630"/>
      <c r="F19" s="630"/>
      <c r="G19" s="630"/>
      <c r="H19" s="701">
        <f t="shared" si="0"/>
        <v>0</v>
      </c>
      <c r="I19" s="946">
        <f>IF(AND(Mandantendaten!$C$13="Ja",G19="Ja"),H19,0)</f>
        <v>0</v>
      </c>
      <c r="J19" s="947">
        <f t="shared" si="1"/>
        <v>0</v>
      </c>
    </row>
    <row r="20" spans="2:10">
      <c r="B20" s="109"/>
      <c r="C20" s="111"/>
      <c r="D20" s="112"/>
      <c r="E20" s="630"/>
      <c r="F20" s="630"/>
      <c r="G20" s="630"/>
      <c r="H20" s="701">
        <f t="shared" si="0"/>
        <v>0</v>
      </c>
      <c r="I20" s="946">
        <f>IF(AND(Mandantendaten!$C$13="Ja",G20="Ja"),H20,0)</f>
        <v>0</v>
      </c>
      <c r="J20" s="947">
        <f t="shared" si="1"/>
        <v>0</v>
      </c>
    </row>
    <row r="21" spans="2:10">
      <c r="B21" s="109"/>
      <c r="C21" s="111"/>
      <c r="D21" s="112"/>
      <c r="E21" s="630"/>
      <c r="F21" s="630"/>
      <c r="G21" s="630"/>
      <c r="H21" s="701">
        <f t="shared" si="0"/>
        <v>0</v>
      </c>
      <c r="I21" s="946">
        <f>IF(AND(Mandantendaten!$C$13="Ja",G21="Ja"),H21,0)</f>
        <v>0</v>
      </c>
      <c r="J21" s="947">
        <f t="shared" si="1"/>
        <v>0</v>
      </c>
    </row>
    <row r="22" spans="2:10">
      <c r="B22" s="109"/>
      <c r="C22" s="111"/>
      <c r="D22" s="112"/>
      <c r="E22" s="630"/>
      <c r="F22" s="630"/>
      <c r="G22" s="630"/>
      <c r="H22" s="701">
        <f t="shared" si="0"/>
        <v>0</v>
      </c>
      <c r="I22" s="946">
        <f>IF(AND(Mandantendaten!$C$13="Ja",G22="Ja"),H22,0)</f>
        <v>0</v>
      </c>
      <c r="J22" s="947">
        <f t="shared" si="1"/>
        <v>0</v>
      </c>
    </row>
    <row r="23" spans="2:10">
      <c r="B23" s="109"/>
      <c r="C23" s="111"/>
      <c r="D23" s="112"/>
      <c r="E23" s="630"/>
      <c r="F23" s="630"/>
      <c r="G23" s="630"/>
      <c r="H23" s="701">
        <f t="shared" si="0"/>
        <v>0</v>
      </c>
      <c r="I23" s="946">
        <f>IF(AND(Mandantendaten!$C$13="Ja",G23="Ja"),H23,0)</f>
        <v>0</v>
      </c>
      <c r="J23" s="947">
        <f t="shared" si="1"/>
        <v>0</v>
      </c>
    </row>
    <row r="24" spans="2:10">
      <c r="B24" s="109"/>
      <c r="C24" s="111"/>
      <c r="D24" s="112"/>
      <c r="E24" s="630"/>
      <c r="F24" s="630"/>
      <c r="G24" s="630"/>
      <c r="H24" s="701">
        <f t="shared" si="0"/>
        <v>0</v>
      </c>
      <c r="I24" s="946">
        <f>IF(AND(Mandantendaten!$C$13="Ja",G24="Ja"),H24,0)</f>
        <v>0</v>
      </c>
      <c r="J24" s="947">
        <f t="shared" si="1"/>
        <v>0</v>
      </c>
    </row>
    <row r="25" spans="2:10">
      <c r="B25" s="109"/>
      <c r="C25" s="111"/>
      <c r="D25" s="112"/>
      <c r="E25" s="630"/>
      <c r="F25" s="630"/>
      <c r="G25" s="630"/>
      <c r="H25" s="701">
        <f t="shared" si="0"/>
        <v>0</v>
      </c>
      <c r="I25" s="946">
        <f>IF(AND(Mandantendaten!$C$13="Ja",G25="Ja"),H25,0)</f>
        <v>0</v>
      </c>
      <c r="J25" s="947">
        <f t="shared" si="1"/>
        <v>0</v>
      </c>
    </row>
    <row r="26" spans="2:10">
      <c r="B26" s="109"/>
      <c r="C26" s="111"/>
      <c r="D26" s="112"/>
      <c r="E26" s="630"/>
      <c r="F26" s="630"/>
      <c r="G26" s="630"/>
      <c r="H26" s="701">
        <f t="shared" si="0"/>
        <v>0</v>
      </c>
      <c r="I26" s="946">
        <f>IF(AND(Mandantendaten!$C$13="Ja",G26="Ja"),H26,0)</f>
        <v>0</v>
      </c>
      <c r="J26" s="947">
        <f t="shared" si="1"/>
        <v>0</v>
      </c>
    </row>
    <row r="27" spans="2:10">
      <c r="B27" s="109"/>
      <c r="C27" s="111"/>
      <c r="D27" s="112"/>
      <c r="E27" s="630"/>
      <c r="F27" s="630"/>
      <c r="G27" s="630"/>
      <c r="H27" s="701">
        <f t="shared" si="0"/>
        <v>0</v>
      </c>
      <c r="I27" s="946">
        <f>IF(AND(Mandantendaten!$C$13="Ja",G27="Ja"),H27,0)</f>
        <v>0</v>
      </c>
      <c r="J27" s="947">
        <f t="shared" si="1"/>
        <v>0</v>
      </c>
    </row>
    <row r="28" spans="2:10">
      <c r="B28" s="109"/>
      <c r="C28" s="631"/>
      <c r="D28" s="632"/>
      <c r="E28" s="633"/>
      <c r="F28" s="633"/>
      <c r="G28" s="630"/>
      <c r="H28" s="701">
        <f t="shared" si="0"/>
        <v>0</v>
      </c>
      <c r="I28" s="946">
        <f>IF(AND(Mandantendaten!$C$13="Ja",G28="Ja"),H28,0)</f>
        <v>0</v>
      </c>
      <c r="J28" s="947">
        <f t="shared" si="1"/>
        <v>0</v>
      </c>
    </row>
    <row r="29" spans="2:10">
      <c r="B29" s="109"/>
      <c r="C29" s="631"/>
      <c r="D29" s="632"/>
      <c r="E29" s="633"/>
      <c r="F29" s="633"/>
      <c r="G29" s="630"/>
      <c r="H29" s="701">
        <f t="shared" si="0"/>
        <v>0</v>
      </c>
      <c r="I29" s="946">
        <f>IF(AND(Mandantendaten!$C$13="Ja",G29="Ja"),H29,0)</f>
        <v>0</v>
      </c>
      <c r="J29" s="947">
        <f t="shared" si="1"/>
        <v>0</v>
      </c>
    </row>
    <row r="30" spans="2:10">
      <c r="B30" s="109"/>
      <c r="C30" s="631"/>
      <c r="D30" s="632"/>
      <c r="E30" s="633"/>
      <c r="F30" s="633"/>
      <c r="G30" s="630"/>
      <c r="H30" s="701">
        <f t="shared" si="0"/>
        <v>0</v>
      </c>
      <c r="I30" s="946">
        <f>IF(AND(Mandantendaten!$C$13="Ja",G30="Ja"),H30,0)</f>
        <v>0</v>
      </c>
      <c r="J30" s="947">
        <f t="shared" si="1"/>
        <v>0</v>
      </c>
    </row>
    <row r="31" spans="2:10">
      <c r="B31" s="109"/>
      <c r="C31" s="631"/>
      <c r="D31" s="632"/>
      <c r="E31" s="633"/>
      <c r="F31" s="633"/>
      <c r="G31" s="630"/>
      <c r="H31" s="701">
        <f t="shared" si="0"/>
        <v>0</v>
      </c>
      <c r="I31" s="946">
        <f>IF(AND(Mandantendaten!$C$13="Ja",G31="Ja"),H31,0)</f>
        <v>0</v>
      </c>
      <c r="J31" s="947">
        <f t="shared" si="1"/>
        <v>0</v>
      </c>
    </row>
    <row r="32" spans="2:10">
      <c r="B32" s="115"/>
      <c r="C32" s="634"/>
      <c r="D32" s="635"/>
      <c r="E32" s="636"/>
      <c r="F32" s="636"/>
      <c r="G32" s="702"/>
      <c r="H32" s="703">
        <f t="shared" si="0"/>
        <v>0</v>
      </c>
      <c r="I32" s="948">
        <f>IF(AND(Mandantendaten!$C$13="Ja",G32="Ja"),H32,0)</f>
        <v>0</v>
      </c>
      <c r="J32" s="949">
        <f t="shared" si="1"/>
        <v>0</v>
      </c>
    </row>
    <row r="33" spans="2:10">
      <c r="B33" s="950"/>
      <c r="C33" s="951"/>
      <c r="D33" s="952"/>
      <c r="E33" s="953"/>
      <c r="F33" s="953"/>
      <c r="G33" s="953"/>
      <c r="H33" s="73"/>
      <c r="I33" s="953"/>
      <c r="J33" s="954"/>
    </row>
    <row r="34" spans="2:10">
      <c r="B34" s="83" t="s">
        <v>91</v>
      </c>
      <c r="C34" s="84"/>
      <c r="D34" s="84">
        <f>SUM(D10:D32)</f>
        <v>238000</v>
      </c>
      <c r="E34" s="85"/>
      <c r="F34" s="86" t="s">
        <v>97</v>
      </c>
      <c r="G34" s="86"/>
      <c r="H34" s="704">
        <f>ROUNDUP(SUM(H10:H32),-2)</f>
        <v>80800</v>
      </c>
      <c r="I34" s="707">
        <f>SUM(I10:I32)</f>
        <v>50000</v>
      </c>
      <c r="J34" s="955">
        <f>SUM(J10:J32)</f>
        <v>-30775.862068965514</v>
      </c>
    </row>
    <row r="35" spans="2:10">
      <c r="B35" s="897"/>
      <c r="C35" s="87"/>
      <c r="D35" s="88"/>
      <c r="E35" s="88"/>
      <c r="F35" s="89" t="s">
        <v>98</v>
      </c>
      <c r="G35" s="89"/>
      <c r="H35" s="705">
        <v>100000</v>
      </c>
      <c r="I35" s="708">
        <v>50000</v>
      </c>
      <c r="J35" s="956">
        <f>I35-H35</f>
        <v>-50000</v>
      </c>
    </row>
    <row r="36" spans="2:10">
      <c r="B36" s="83"/>
      <c r="C36" s="84"/>
      <c r="D36" s="85"/>
      <c r="E36" s="85"/>
      <c r="F36" s="86" t="str">
        <f>IF(H36&lt;0,"EWB Auflösung","EWB Erhöhung ")</f>
        <v>EWB Auflösung</v>
      </c>
      <c r="G36" s="86"/>
      <c r="H36" s="706">
        <f>H34-H35</f>
        <v>-19200</v>
      </c>
      <c r="I36" s="709">
        <f>I34-I35</f>
        <v>0</v>
      </c>
      <c r="J36" s="957">
        <f>I36-H36</f>
        <v>19200</v>
      </c>
    </row>
    <row r="37" spans="2:10">
      <c r="B37" s="958"/>
      <c r="C37" s="959"/>
      <c r="D37" s="960"/>
      <c r="E37" s="960"/>
      <c r="F37" s="961"/>
      <c r="G37" s="961"/>
      <c r="H37" s="961"/>
      <c r="I37" s="961"/>
      <c r="J37" s="60"/>
    </row>
    <row r="39" spans="2:10" hidden="1">
      <c r="G39" s="912" t="s">
        <v>401</v>
      </c>
    </row>
    <row r="40" spans="2:10" hidden="1">
      <c r="G40" s="912">
        <f>IF(I10&gt;0,D10,0)</f>
        <v>119000</v>
      </c>
    </row>
    <row r="41" spans="2:10" hidden="1">
      <c r="G41" s="912">
        <f t="shared" ref="G41:G62" si="2">IF(I11&gt;0,D11,0)</f>
        <v>0</v>
      </c>
    </row>
    <row r="42" spans="2:10" hidden="1">
      <c r="G42" s="912">
        <f t="shared" si="2"/>
        <v>0</v>
      </c>
    </row>
    <row r="43" spans="2:10" hidden="1">
      <c r="G43" s="912">
        <f t="shared" si="2"/>
        <v>0</v>
      </c>
    </row>
    <row r="44" spans="2:10" hidden="1">
      <c r="G44" s="912">
        <f t="shared" si="2"/>
        <v>0</v>
      </c>
    </row>
    <row r="45" spans="2:10" hidden="1">
      <c r="G45" s="912">
        <f t="shared" si="2"/>
        <v>0</v>
      </c>
    </row>
    <row r="46" spans="2:10" hidden="1">
      <c r="G46" s="912">
        <f t="shared" si="2"/>
        <v>0</v>
      </c>
    </row>
    <row r="47" spans="2:10" hidden="1">
      <c r="G47" s="912">
        <f t="shared" si="2"/>
        <v>0</v>
      </c>
    </row>
    <row r="48" spans="2:10" hidden="1">
      <c r="G48" s="912">
        <f t="shared" si="2"/>
        <v>0</v>
      </c>
    </row>
    <row r="49" spans="6:7" hidden="1">
      <c r="G49" s="912">
        <f t="shared" si="2"/>
        <v>0</v>
      </c>
    </row>
    <row r="50" spans="6:7" hidden="1">
      <c r="G50" s="912">
        <f t="shared" si="2"/>
        <v>0</v>
      </c>
    </row>
    <row r="51" spans="6:7" hidden="1">
      <c r="G51" s="912">
        <f t="shared" si="2"/>
        <v>0</v>
      </c>
    </row>
    <row r="52" spans="6:7" hidden="1">
      <c r="G52" s="912">
        <f t="shared" si="2"/>
        <v>0</v>
      </c>
    </row>
    <row r="53" spans="6:7" hidden="1">
      <c r="G53" s="912">
        <f t="shared" si="2"/>
        <v>0</v>
      </c>
    </row>
    <row r="54" spans="6:7" hidden="1">
      <c r="G54" s="912">
        <f t="shared" si="2"/>
        <v>0</v>
      </c>
    </row>
    <row r="55" spans="6:7" hidden="1">
      <c r="G55" s="912">
        <f t="shared" si="2"/>
        <v>0</v>
      </c>
    </row>
    <row r="56" spans="6:7" hidden="1">
      <c r="G56" s="912">
        <f t="shared" si="2"/>
        <v>0</v>
      </c>
    </row>
    <row r="57" spans="6:7" hidden="1">
      <c r="G57" s="912">
        <f t="shared" si="2"/>
        <v>0</v>
      </c>
    </row>
    <row r="58" spans="6:7" hidden="1">
      <c r="G58" s="912">
        <f t="shared" si="2"/>
        <v>0</v>
      </c>
    </row>
    <row r="59" spans="6:7" hidden="1">
      <c r="G59" s="912">
        <f t="shared" si="2"/>
        <v>0</v>
      </c>
    </row>
    <row r="60" spans="6:7" hidden="1">
      <c r="G60" s="912">
        <f t="shared" si="2"/>
        <v>0</v>
      </c>
    </row>
    <row r="61" spans="6:7" hidden="1">
      <c r="G61" s="912">
        <f t="shared" si="2"/>
        <v>0</v>
      </c>
    </row>
    <row r="62" spans="6:7" hidden="1">
      <c r="G62" s="912">
        <f t="shared" si="2"/>
        <v>0</v>
      </c>
    </row>
    <row r="63" spans="6:7" hidden="1">
      <c r="F63" s="912" t="s">
        <v>402</v>
      </c>
      <c r="G63" s="912">
        <f>SUM(G40:G62)</f>
        <v>119000</v>
      </c>
    </row>
  </sheetData>
  <mergeCells count="6">
    <mergeCell ref="B1:G1"/>
    <mergeCell ref="C7:E7"/>
    <mergeCell ref="B2:E2"/>
    <mergeCell ref="B3:E3"/>
    <mergeCell ref="G2:I2"/>
    <mergeCell ref="G3:I3"/>
  </mergeCells>
  <dataValidations disablePrompts="1" count="1">
    <dataValidation type="list" allowBlank="1" showInputMessage="1" showErrorMessage="1" sqref="G10:G32" xr:uid="{57B194EB-0ED4-43AA-9F36-7D990900D751}">
      <formula1>$N$10:$O$10</formula1>
    </dataValidation>
  </dataValidations>
  <hyperlinks>
    <hyperlink ref="L1" location="Inhaltsverzeichnis!A1" display="zum Inhaltserzeichnis" xr:uid="{51229097-21CB-43B6-AD50-B03F7627BC02}"/>
    <hyperlink ref="B4:M4" r:id="rId1" display="                      BMF-Schreiben vom 2.9.2016 (BStBl I S. 995, Tz. 14 und 31 f.)" xr:uid="{3EEA9052-D002-48F8-804B-B3E23B563DA6}"/>
    <hyperlink ref="B5:I5" r:id="rId2" display="                     Wertberichtigungen zu Forderungen - Infocenter NWB " xr:uid="{9568DE8C-85F8-4F7A-8423-816A400143BB}"/>
  </hyperlinks>
  <pageMargins left="0.7" right="0.7" top="0.78740157499999996" bottom="0.78740157499999996" header="0.3" footer="0.3"/>
  <pageSetup paperSize="9" scale="60" orientation="landscape" r:id="rId3"/>
  <colBreaks count="1" manualBreakCount="1">
    <brk id="11" max="31" man="1"/>
  </col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2E66-9700-475B-9F7B-600D6CA2E6AF}">
  <sheetPr>
    <pageSetUpPr fitToPage="1"/>
  </sheetPr>
  <dimension ref="A1:M31"/>
  <sheetViews>
    <sheetView showGridLines="0" zoomScaleNormal="100" workbookViewId="0">
      <pane ySplit="9" topLeftCell="A10" activePane="bottomLeft" state="frozen"/>
      <selection pane="bottomLeft" activeCell="G3" sqref="G3:I3"/>
    </sheetView>
  </sheetViews>
  <sheetFormatPr baseColWidth="10" defaultColWidth="0" defaultRowHeight="15" zeroHeight="1"/>
  <cols>
    <col min="1" max="1" width="1.7109375" style="546" customWidth="1"/>
    <col min="2" max="2" width="29.85546875" style="546" customWidth="1"/>
    <col min="3" max="3" width="34.7109375" style="546" customWidth="1"/>
    <col min="4" max="4" width="19.140625" style="546" customWidth="1"/>
    <col min="5" max="5" width="16" style="546" customWidth="1"/>
    <col min="6" max="9" width="22.85546875" style="711" customWidth="1"/>
    <col min="10" max="10" width="23.85546875" style="546" customWidth="1"/>
    <col min="11" max="11" width="1.7109375" style="546" customWidth="1"/>
    <col min="12" max="12" width="21.140625" style="546" customWidth="1"/>
    <col min="13" max="16384" width="11.42578125" style="546" hidden="1"/>
  </cols>
  <sheetData>
    <row r="1" spans="2:13" ht="35.1" customHeight="1">
      <c r="B1" s="1079" t="s">
        <v>519</v>
      </c>
      <c r="C1" s="1092"/>
      <c r="D1" s="1092"/>
      <c r="E1" s="1092"/>
      <c r="F1" s="1092"/>
      <c r="G1" s="1092"/>
      <c r="H1" s="845"/>
      <c r="I1" s="845"/>
      <c r="J1" s="845"/>
      <c r="L1" s="555" t="s">
        <v>269</v>
      </c>
    </row>
    <row r="2" spans="2:13" s="613" customFormat="1">
      <c r="B2" s="1166" t="s">
        <v>322</v>
      </c>
      <c r="C2" s="1161"/>
      <c r="D2" s="1161"/>
      <c r="E2" s="1161"/>
      <c r="F2" s="1161"/>
      <c r="G2" s="1169" t="s">
        <v>576</v>
      </c>
      <c r="H2" s="1169"/>
      <c r="I2" s="1169"/>
      <c r="J2" s="846"/>
      <c r="K2" s="851"/>
      <c r="L2" s="856"/>
      <c r="M2" s="851"/>
    </row>
    <row r="3" spans="2:13" s="679" customFormat="1">
      <c r="B3" s="1167" t="s">
        <v>396</v>
      </c>
      <c r="C3" s="1168"/>
      <c r="D3" s="1168"/>
      <c r="E3" s="848"/>
      <c r="F3" s="848"/>
      <c r="G3" s="1155" t="s">
        <v>579</v>
      </c>
      <c r="H3" s="1155"/>
      <c r="I3" s="1092"/>
      <c r="J3" s="846"/>
      <c r="K3" s="851"/>
      <c r="L3" s="856"/>
      <c r="M3" s="851"/>
    </row>
    <row r="4" spans="2:13" s="815" customFormat="1">
      <c r="B4" s="1076"/>
      <c r="C4" s="1076"/>
      <c r="D4" s="1076"/>
      <c r="E4" s="1076"/>
      <c r="F4" s="1076"/>
      <c r="G4" s="1076"/>
      <c r="H4" s="1076"/>
      <c r="I4" s="1076"/>
      <c r="J4" s="847"/>
      <c r="K4" s="847"/>
      <c r="L4" s="847"/>
      <c r="M4" s="847"/>
    </row>
    <row r="5" spans="2:13" ht="15" customHeight="1">
      <c r="B5" s="458"/>
      <c r="C5" s="556"/>
      <c r="D5" s="556"/>
      <c r="E5" s="556"/>
      <c r="F5" s="710"/>
      <c r="G5" s="710"/>
      <c r="H5" s="710"/>
      <c r="I5" s="710"/>
      <c r="J5" s="599" t="s">
        <v>314</v>
      </c>
      <c r="L5" s="555"/>
    </row>
    <row r="6" spans="2:13">
      <c r="B6" s="557" t="s">
        <v>75</v>
      </c>
      <c r="C6" s="576" t="str">
        <f>Mandantendaten!C3</f>
        <v>Max Mustermann</v>
      </c>
      <c r="D6" s="577"/>
      <c r="J6" s="578">
        <f>Mandantendaten!C5</f>
        <v>44561</v>
      </c>
    </row>
    <row r="7" spans="2:13" s="679" customFormat="1">
      <c r="B7" s="557"/>
      <c r="C7" s="670"/>
      <c r="D7" s="577"/>
      <c r="F7" s="711"/>
      <c r="G7" s="711"/>
      <c r="H7" s="711"/>
      <c r="I7" s="711"/>
      <c r="J7" s="578"/>
    </row>
    <row r="8" spans="2:13">
      <c r="B8" s="579"/>
      <c r="C8" s="580"/>
      <c r="D8" s="1156" t="s">
        <v>390</v>
      </c>
      <c r="E8" s="1152"/>
      <c r="F8" s="1162"/>
      <c r="G8" s="1163" t="s">
        <v>391</v>
      </c>
      <c r="H8" s="1164"/>
      <c r="I8" s="1165"/>
      <c r="J8" s="1136" t="s">
        <v>398</v>
      </c>
    </row>
    <row r="9" spans="2:13">
      <c r="B9" s="581" t="s">
        <v>99</v>
      </c>
      <c r="C9" s="296"/>
      <c r="D9" s="857" t="s">
        <v>517</v>
      </c>
      <c r="E9" s="717"/>
      <c r="F9" s="718" t="s">
        <v>557</v>
      </c>
      <c r="G9" s="716" t="s">
        <v>517</v>
      </c>
      <c r="H9" s="717"/>
      <c r="I9" s="718" t="s">
        <v>518</v>
      </c>
      <c r="J9" s="1137"/>
    </row>
    <row r="10" spans="2:13">
      <c r="B10" s="579"/>
      <c r="C10" s="582"/>
      <c r="D10" s="582"/>
      <c r="E10" s="252"/>
      <c r="F10" s="712"/>
      <c r="G10" s="582"/>
      <c r="H10" s="252"/>
      <c r="I10" s="579"/>
    </row>
    <row r="11" spans="2:13">
      <c r="B11" s="583" t="s">
        <v>100</v>
      </c>
      <c r="C11" s="584"/>
      <c r="D11" s="585">
        <v>269000</v>
      </c>
      <c r="E11" s="258"/>
      <c r="F11" s="713"/>
      <c r="G11" s="585">
        <v>269000</v>
      </c>
      <c r="H11" s="258"/>
      <c r="I11" s="579"/>
    </row>
    <row r="12" spans="2:13">
      <c r="B12" s="583" t="s">
        <v>101</v>
      </c>
      <c r="C12" s="584"/>
      <c r="D12" s="586">
        <v>20000</v>
      </c>
      <c r="E12" s="258"/>
      <c r="F12" s="713"/>
      <c r="G12" s="586">
        <v>31000</v>
      </c>
      <c r="H12" s="258"/>
      <c r="I12" s="579"/>
    </row>
    <row r="13" spans="2:13">
      <c r="B13" s="583" t="s">
        <v>102</v>
      </c>
      <c r="C13" s="584"/>
      <c r="D13" s="586"/>
      <c r="E13" s="258"/>
      <c r="F13" s="713"/>
      <c r="G13" s="586"/>
      <c r="H13" s="258"/>
      <c r="I13" s="579"/>
    </row>
    <row r="14" spans="2:13">
      <c r="B14" s="583" t="s">
        <v>103</v>
      </c>
      <c r="C14" s="584"/>
      <c r="D14" s="587"/>
      <c r="E14" s="258"/>
      <c r="F14" s="713"/>
      <c r="G14" s="587"/>
      <c r="H14" s="258"/>
      <c r="I14" s="579"/>
    </row>
    <row r="15" spans="2:13">
      <c r="B15" s="583" t="s">
        <v>104</v>
      </c>
      <c r="C15" s="584"/>
      <c r="D15" s="584">
        <f>'Ford. 3'!D34</f>
        <v>238000</v>
      </c>
      <c r="E15" s="258"/>
      <c r="F15" s="713"/>
      <c r="G15" s="584">
        <f>'Ford. 3'!G63</f>
        <v>119000</v>
      </c>
      <c r="H15" s="258"/>
      <c r="I15" s="579"/>
    </row>
    <row r="16" spans="2:13">
      <c r="B16" s="583" t="s">
        <v>105</v>
      </c>
      <c r="C16" s="584"/>
      <c r="D16" s="584">
        <f>D11-D12-D13-D14-D15</f>
        <v>11000</v>
      </c>
      <c r="E16" s="258"/>
      <c r="F16" s="714">
        <f>D16</f>
        <v>11000</v>
      </c>
      <c r="G16" s="584">
        <f>G11-G12-G13-G14-G15</f>
        <v>119000</v>
      </c>
      <c r="H16" s="258"/>
      <c r="I16" s="588">
        <f>G16</f>
        <v>119000</v>
      </c>
      <c r="J16" s="687">
        <f>I16-F16</f>
        <v>108000</v>
      </c>
    </row>
    <row r="17" spans="2:10">
      <c r="B17" s="589" t="s">
        <v>106</v>
      </c>
      <c r="C17" s="590">
        <f>Mandantendaten!C8</f>
        <v>0.19</v>
      </c>
      <c r="D17" s="585">
        <v>11000</v>
      </c>
      <c r="E17" s="258"/>
      <c r="F17" s="713"/>
      <c r="G17" s="585">
        <v>119000</v>
      </c>
      <c r="H17" s="258"/>
      <c r="I17" s="579"/>
    </row>
    <row r="18" spans="2:10">
      <c r="B18" s="589" t="s">
        <v>106</v>
      </c>
      <c r="C18" s="590">
        <f>Mandantendaten!C9</f>
        <v>0.19</v>
      </c>
      <c r="D18" s="586">
        <v>0</v>
      </c>
      <c r="E18" s="258"/>
      <c r="F18" s="713"/>
      <c r="G18" s="586">
        <v>0</v>
      </c>
      <c r="H18" s="258"/>
      <c r="I18" s="579"/>
    </row>
    <row r="19" spans="2:10">
      <c r="B19" s="589" t="s">
        <v>106</v>
      </c>
      <c r="C19" s="590">
        <f>Mandantendaten!C10</f>
        <v>7.0000000000000007E-2</v>
      </c>
      <c r="D19" s="586"/>
      <c r="E19" s="258"/>
      <c r="F19" s="713"/>
      <c r="G19" s="586"/>
      <c r="H19" s="258"/>
      <c r="I19" s="579"/>
    </row>
    <row r="20" spans="2:10">
      <c r="B20" s="589" t="s">
        <v>106</v>
      </c>
      <c r="C20" s="590">
        <f>Mandantendaten!C11</f>
        <v>7.0000000000000007E-2</v>
      </c>
      <c r="D20" s="587"/>
      <c r="E20" s="258"/>
      <c r="F20" s="713"/>
      <c r="G20" s="587"/>
      <c r="H20" s="258"/>
      <c r="I20" s="579"/>
    </row>
    <row r="21" spans="2:10">
      <c r="B21" s="589"/>
      <c r="C21" s="584"/>
      <c r="D21" s="584"/>
      <c r="E21" s="258"/>
      <c r="F21" s="713"/>
      <c r="G21" s="584"/>
      <c r="H21" s="258"/>
      <c r="I21" s="579"/>
    </row>
    <row r="22" spans="2:10">
      <c r="B22" s="583" t="s">
        <v>107</v>
      </c>
      <c r="C22" s="584"/>
      <c r="D22" s="584">
        <f>D17/(1+C17)*C17+D18/(1+C18)*C18+D19/(1+C19)*C19+D20/(1+C20)*C20</f>
        <v>1756.3025210084033</v>
      </c>
      <c r="E22" s="258"/>
      <c r="F22" s="858">
        <f>D22</f>
        <v>1756.3025210084033</v>
      </c>
      <c r="G22" s="584">
        <f>G17/(1+C17)*C17+G18/(1+C18)*C18+G19/(1+C19)*C19+G20/(1+C20)*C20</f>
        <v>19000</v>
      </c>
      <c r="H22" s="258"/>
      <c r="I22" s="588">
        <f>G22</f>
        <v>19000</v>
      </c>
      <c r="J22" s="687">
        <f>I22-F22</f>
        <v>17243.697478991598</v>
      </c>
    </row>
    <row r="23" spans="2:10">
      <c r="B23" s="583"/>
      <c r="C23" s="584"/>
      <c r="D23" s="584"/>
      <c r="E23" s="258"/>
      <c r="F23" s="859"/>
      <c r="G23" s="584"/>
      <c r="H23" s="258"/>
      <c r="I23" s="579"/>
    </row>
    <row r="24" spans="2:10">
      <c r="B24" s="591" t="s">
        <v>399</v>
      </c>
      <c r="C24" s="592"/>
      <c r="D24" s="591"/>
      <c r="E24" s="593"/>
      <c r="F24" s="860">
        <f>F16-F22</f>
        <v>9243.6974789915967</v>
      </c>
      <c r="G24" s="591"/>
      <c r="H24" s="593"/>
      <c r="I24" s="594">
        <f>I16-I22</f>
        <v>100000</v>
      </c>
      <c r="J24" s="687">
        <f>I24-F24</f>
        <v>90756.302521008402</v>
      </c>
    </row>
    <row r="25" spans="2:10">
      <c r="B25" s="583"/>
      <c r="C25" s="584"/>
      <c r="D25" s="583"/>
      <c r="E25" s="258"/>
      <c r="F25" s="858"/>
      <c r="G25" s="583"/>
      <c r="H25" s="258"/>
      <c r="I25" s="588"/>
    </row>
    <row r="26" spans="2:10">
      <c r="B26" s="583" t="s">
        <v>108</v>
      </c>
      <c r="C26" s="584"/>
      <c r="D26" s="584" t="s">
        <v>109</v>
      </c>
      <c r="E26" s="583"/>
      <c r="F26" s="599"/>
      <c r="G26" s="584" t="s">
        <v>109</v>
      </c>
      <c r="H26" s="583"/>
      <c r="I26" s="579"/>
    </row>
    <row r="27" spans="2:10">
      <c r="B27" s="583"/>
      <c r="C27" s="584"/>
      <c r="D27" s="719">
        <v>0.01</v>
      </c>
      <c r="E27" s="721" t="s">
        <v>110</v>
      </c>
      <c r="F27" s="861">
        <f>ROUNDUP(IF(D27&gt;0,F24*D27,F24),-2)</f>
        <v>100</v>
      </c>
      <c r="G27" s="720">
        <f>$D$27</f>
        <v>0.01</v>
      </c>
      <c r="H27" s="721" t="s">
        <v>110</v>
      </c>
      <c r="I27" s="724">
        <f>ROUNDUP(IF(AND(G27&gt;0,Mandantendaten!C13="Ja"),I24*G27,I24),-2)</f>
        <v>1000</v>
      </c>
      <c r="J27" s="727">
        <f>I27-F27</f>
        <v>900</v>
      </c>
    </row>
    <row r="28" spans="2:10">
      <c r="B28" s="583"/>
      <c r="C28" s="584"/>
      <c r="D28" s="584"/>
      <c r="E28" s="722" t="s">
        <v>271</v>
      </c>
      <c r="F28" s="862">
        <v>1500</v>
      </c>
      <c r="G28" s="584"/>
      <c r="H28" s="722" t="s">
        <v>271</v>
      </c>
      <c r="I28" s="725">
        <v>1500</v>
      </c>
      <c r="J28" s="728">
        <f>I28-F28</f>
        <v>0</v>
      </c>
    </row>
    <row r="29" spans="2:10">
      <c r="B29" s="595"/>
      <c r="C29" s="596"/>
      <c r="D29" s="596"/>
      <c r="E29" s="723" t="str">
        <f>IF(F28&gt;F27,"PWB Auflösung","PWB Erhöhung ")</f>
        <v>PWB Auflösung</v>
      </c>
      <c r="F29" s="863">
        <f>F27-F28</f>
        <v>-1400</v>
      </c>
      <c r="G29" s="596"/>
      <c r="H29" s="723" t="str">
        <f>IF(I28&gt;I27,"PWB Auflösung","PWB Erhöhung ")</f>
        <v>PWB Auflösung</v>
      </c>
      <c r="I29" s="726">
        <f>I27-I28</f>
        <v>-500</v>
      </c>
      <c r="J29" s="729">
        <f>I29-F29</f>
        <v>900</v>
      </c>
    </row>
    <row r="30" spans="2:10">
      <c r="B30" s="556"/>
      <c r="C30" s="597"/>
      <c r="D30" s="597"/>
      <c r="E30" s="598"/>
      <c r="F30" s="715"/>
      <c r="G30" s="715"/>
      <c r="H30" s="715"/>
      <c r="I30" s="715"/>
      <c r="J30" s="560"/>
    </row>
    <row r="31" spans="2:10"/>
  </sheetData>
  <mergeCells count="8">
    <mergeCell ref="B1:G1"/>
    <mergeCell ref="D8:F8"/>
    <mergeCell ref="G8:I8"/>
    <mergeCell ref="J8:J9"/>
    <mergeCell ref="B2:F2"/>
    <mergeCell ref="B3:D3"/>
    <mergeCell ref="G2:I2"/>
    <mergeCell ref="G3:I3"/>
  </mergeCells>
  <hyperlinks>
    <hyperlink ref="L1" location="Inhaltsverzeichnis!A1" display="zum Inhaltsverzeichnis" xr:uid="{D3B8C11C-5972-4B3C-AC87-0EB7B26F7BC5}"/>
  </hyperlinks>
  <pageMargins left="0.7" right="0.7" top="0.78740157499999996" bottom="0.78740157499999996" header="0.3" footer="0.3"/>
  <pageSetup paperSize="9" scale="60" orientation="landscape" r:id="rId1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2BD3-8BD5-4195-9F5E-212777DD1B47}">
  <dimension ref="A1:K39"/>
  <sheetViews>
    <sheetView showGridLines="0" zoomScaleNormal="100" workbookViewId="0">
      <selection activeCell="B10" sqref="B10"/>
    </sheetView>
  </sheetViews>
  <sheetFormatPr baseColWidth="10" defaultColWidth="0" defaultRowHeight="15" zeroHeight="1"/>
  <cols>
    <col min="1" max="1" width="1.7109375" style="912" customWidth="1"/>
    <col min="2" max="2" width="37.140625" style="912" customWidth="1"/>
    <col min="3" max="3" width="14" style="912" customWidth="1"/>
    <col min="4" max="4" width="14.140625" style="912" customWidth="1"/>
    <col min="5" max="5" width="16.140625" style="912" customWidth="1"/>
    <col min="6" max="6" width="14.85546875" style="912" customWidth="1"/>
    <col min="7" max="7" width="11.42578125" style="912" hidden="1" customWidth="1"/>
    <col min="8" max="8" width="14.7109375" style="912" customWidth="1"/>
    <col min="9" max="9" width="16.42578125" style="912" customWidth="1"/>
    <col min="10" max="10" width="1.7109375" style="912" customWidth="1"/>
    <col min="11" max="11" width="21.7109375" style="912" customWidth="1"/>
    <col min="12" max="16384" width="11.42578125" style="912" hidden="1"/>
  </cols>
  <sheetData>
    <row r="1" spans="2:11" ht="35.1" customHeight="1">
      <c r="B1" s="1131" t="s">
        <v>372</v>
      </c>
      <c r="C1" s="1132"/>
      <c r="D1" s="1132"/>
      <c r="E1" s="1132"/>
      <c r="F1" s="1132"/>
      <c r="G1" s="1170"/>
      <c r="H1" s="1170"/>
      <c r="I1" s="1170"/>
      <c r="K1" s="913" t="s">
        <v>269</v>
      </c>
    </row>
    <row r="2" spans="2:11">
      <c r="B2" s="1135" t="s">
        <v>317</v>
      </c>
      <c r="C2" s="1135"/>
      <c r="D2" s="1135"/>
      <c r="E2" s="1135"/>
      <c r="F2" s="1135"/>
      <c r="G2" s="1135"/>
      <c r="H2" s="1135"/>
      <c r="I2" s="1135"/>
      <c r="K2" s="913"/>
    </row>
    <row r="3" spans="2:11">
      <c r="B3" s="1135" t="s">
        <v>396</v>
      </c>
      <c r="C3" s="1135"/>
      <c r="D3" s="1135"/>
      <c r="E3" s="1135"/>
      <c r="F3" s="1135"/>
      <c r="G3" s="1135"/>
      <c r="H3" s="1135"/>
      <c r="I3" s="915"/>
      <c r="K3" s="913"/>
    </row>
    <row r="4" spans="2:11" ht="15" customHeight="1">
      <c r="B4" s="916"/>
      <c r="C4" s="917"/>
      <c r="D4" s="917"/>
      <c r="E4" s="917"/>
      <c r="F4" s="917"/>
      <c r="I4" s="600" t="s">
        <v>314</v>
      </c>
    </row>
    <row r="5" spans="2:11">
      <c r="B5" s="18" t="s">
        <v>75</v>
      </c>
      <c r="C5" s="1157" t="str">
        <f>Mandantendaten!C3</f>
        <v>Max Mustermann</v>
      </c>
      <c r="D5" s="1158"/>
      <c r="E5" s="1158"/>
      <c r="F5" s="1158"/>
      <c r="G5" s="886"/>
      <c r="I5" s="64">
        <f>Mandantendaten!C5</f>
        <v>44561</v>
      </c>
    </row>
    <row r="6" spans="2:11">
      <c r="B6" s="60"/>
      <c r="C6" s="63"/>
      <c r="D6" s="63"/>
      <c r="E6" s="63"/>
      <c r="F6" s="63"/>
      <c r="G6" s="63"/>
      <c r="H6" s="63"/>
      <c r="I6" s="94"/>
    </row>
    <row r="7" spans="2:11">
      <c r="B7" s="95" t="s">
        <v>111</v>
      </c>
      <c r="C7" s="96"/>
      <c r="D7" s="97"/>
      <c r="E7" s="98"/>
      <c r="F7" s="1171" t="s">
        <v>112</v>
      </c>
      <c r="G7" s="1171"/>
      <c r="H7" s="1171"/>
      <c r="I7" s="99" t="s">
        <v>89</v>
      </c>
    </row>
    <row r="8" spans="2:11">
      <c r="B8" s="95"/>
      <c r="C8" s="96"/>
      <c r="D8" s="97"/>
      <c r="E8" s="98"/>
      <c r="F8" s="887"/>
      <c r="G8" s="887"/>
      <c r="H8" s="887"/>
      <c r="I8" s="99"/>
    </row>
    <row r="9" spans="2:11">
      <c r="B9" s="637" t="s">
        <v>113</v>
      </c>
      <c r="C9" s="637" t="s">
        <v>77</v>
      </c>
      <c r="D9" s="637" t="s">
        <v>114</v>
      </c>
      <c r="E9" s="638" t="s">
        <v>86</v>
      </c>
      <c r="F9" s="639" t="s">
        <v>87</v>
      </c>
      <c r="G9" s="640"/>
      <c r="H9" s="641" t="s">
        <v>516</v>
      </c>
      <c r="I9" s="102"/>
    </row>
    <row r="10" spans="2:11">
      <c r="B10" s="103" t="s">
        <v>90</v>
      </c>
      <c r="C10" s="104">
        <v>44489</v>
      </c>
      <c r="D10" s="105"/>
      <c r="E10" s="106">
        <v>300</v>
      </c>
      <c r="F10" s="104">
        <v>44217</v>
      </c>
      <c r="G10" s="107">
        <f t="shared" ref="G10:G17" si="0">IF(F10&lt;=$I$5,1,"")</f>
        <v>1</v>
      </c>
      <c r="H10" s="108">
        <v>200</v>
      </c>
      <c r="I10" s="73">
        <f>E10-H10</f>
        <v>100</v>
      </c>
    </row>
    <row r="11" spans="2:11">
      <c r="B11" s="109"/>
      <c r="C11" s="110"/>
      <c r="D11" s="111"/>
      <c r="E11" s="112"/>
      <c r="F11" s="110"/>
      <c r="G11" s="113">
        <f t="shared" si="0"/>
        <v>1</v>
      </c>
      <c r="H11" s="114"/>
      <c r="I11" s="73">
        <f t="shared" ref="I11:I17" si="1">E11-H11</f>
        <v>0</v>
      </c>
    </row>
    <row r="12" spans="2:11">
      <c r="B12" s="109"/>
      <c r="C12" s="110"/>
      <c r="D12" s="111"/>
      <c r="E12" s="112"/>
      <c r="F12" s="110"/>
      <c r="G12" s="113">
        <f t="shared" si="0"/>
        <v>1</v>
      </c>
      <c r="H12" s="114"/>
      <c r="I12" s="73">
        <f t="shared" si="1"/>
        <v>0</v>
      </c>
    </row>
    <row r="13" spans="2:11">
      <c r="B13" s="109"/>
      <c r="C13" s="110"/>
      <c r="D13" s="111"/>
      <c r="E13" s="112"/>
      <c r="F13" s="110"/>
      <c r="G13" s="113">
        <f t="shared" si="0"/>
        <v>1</v>
      </c>
      <c r="H13" s="114"/>
      <c r="I13" s="73">
        <f t="shared" si="1"/>
        <v>0</v>
      </c>
    </row>
    <row r="14" spans="2:11">
      <c r="B14" s="109"/>
      <c r="C14" s="110"/>
      <c r="D14" s="111"/>
      <c r="E14" s="112"/>
      <c r="F14" s="110"/>
      <c r="G14" s="113">
        <f t="shared" si="0"/>
        <v>1</v>
      </c>
      <c r="H14" s="114"/>
      <c r="I14" s="73">
        <f t="shared" si="1"/>
        <v>0</v>
      </c>
    </row>
    <row r="15" spans="2:11">
      <c r="B15" s="109"/>
      <c r="C15" s="110"/>
      <c r="D15" s="111"/>
      <c r="E15" s="112"/>
      <c r="F15" s="110"/>
      <c r="G15" s="113">
        <f t="shared" si="0"/>
        <v>1</v>
      </c>
      <c r="H15" s="114"/>
      <c r="I15" s="73">
        <f t="shared" si="1"/>
        <v>0</v>
      </c>
    </row>
    <row r="16" spans="2:11">
      <c r="B16" s="109"/>
      <c r="C16" s="110"/>
      <c r="D16" s="111"/>
      <c r="E16" s="112"/>
      <c r="F16" s="110"/>
      <c r="G16" s="113">
        <f t="shared" si="0"/>
        <v>1</v>
      </c>
      <c r="H16" s="114"/>
      <c r="I16" s="73">
        <f t="shared" si="1"/>
        <v>0</v>
      </c>
    </row>
    <row r="17" spans="2:9">
      <c r="B17" s="115"/>
      <c r="C17" s="116"/>
      <c r="D17" s="117"/>
      <c r="E17" s="118"/>
      <c r="F17" s="116"/>
      <c r="G17" s="119">
        <f t="shared" si="0"/>
        <v>1</v>
      </c>
      <c r="H17" s="120"/>
      <c r="I17" s="73">
        <f t="shared" si="1"/>
        <v>0</v>
      </c>
    </row>
    <row r="18" spans="2:9">
      <c r="B18" s="950"/>
      <c r="C18" s="962"/>
      <c r="D18" s="963"/>
      <c r="E18" s="952"/>
      <c r="F18" s="953"/>
      <c r="G18" s="953"/>
      <c r="H18" s="953"/>
      <c r="I18" s="73"/>
    </row>
    <row r="19" spans="2:9">
      <c r="B19" s="465" t="s">
        <v>115</v>
      </c>
      <c r="C19" s="121"/>
      <c r="D19" s="84"/>
      <c r="E19" s="84">
        <f>SUM(E10:E17)</f>
        <v>300</v>
      </c>
      <c r="F19" s="84"/>
      <c r="G19" s="84"/>
      <c r="H19" s="84">
        <f>SUM(H10:H17)</f>
        <v>200</v>
      </c>
      <c r="I19" s="85">
        <f>SUM(I10:I17)</f>
        <v>100</v>
      </c>
    </row>
    <row r="20" spans="2:9">
      <c r="B20" s="963"/>
      <c r="C20" s="964"/>
      <c r="D20" s="965"/>
      <c r="E20" s="965"/>
      <c r="F20" s="965"/>
      <c r="G20" s="965"/>
      <c r="H20" s="966"/>
      <c r="I20" s="124"/>
    </row>
    <row r="21" spans="2:9">
      <c r="B21" s="967" t="s">
        <v>116</v>
      </c>
      <c r="C21" s="968"/>
      <c r="D21" s="969"/>
      <c r="E21" s="970"/>
      <c r="F21" s="1172" t="s">
        <v>112</v>
      </c>
      <c r="G21" s="1172"/>
      <c r="H21" s="1172"/>
      <c r="I21" s="99" t="str">
        <f>I7</f>
        <v>Restbetrag</v>
      </c>
    </row>
    <row r="22" spans="2:9">
      <c r="B22" s="967"/>
      <c r="C22" s="968"/>
      <c r="D22" s="969"/>
      <c r="E22" s="970"/>
      <c r="F22" s="971"/>
      <c r="G22" s="971"/>
      <c r="H22" s="971"/>
      <c r="I22" s="99"/>
    </row>
    <row r="23" spans="2:9" ht="30">
      <c r="B23" s="972" t="s">
        <v>113</v>
      </c>
      <c r="C23" s="972" t="s">
        <v>77</v>
      </c>
      <c r="D23" s="972" t="s">
        <v>114</v>
      </c>
      <c r="E23" s="638" t="s">
        <v>323</v>
      </c>
      <c r="F23" s="973" t="s">
        <v>325</v>
      </c>
      <c r="G23" s="973"/>
      <c r="H23" s="641" t="s">
        <v>324</v>
      </c>
      <c r="I23" s="102"/>
    </row>
    <row r="24" spans="2:9">
      <c r="B24" s="125" t="s">
        <v>90</v>
      </c>
      <c r="C24" s="126">
        <v>44479</v>
      </c>
      <c r="D24" s="72"/>
      <c r="E24" s="1059">
        <v>10000</v>
      </c>
      <c r="F24" s="126">
        <v>44545</v>
      </c>
      <c r="G24" s="1067">
        <f t="shared" ref="G24:G33" si="2">IF(F24&lt;=$I$5,1,"")</f>
        <v>1</v>
      </c>
      <c r="H24" s="1060">
        <v>1000</v>
      </c>
      <c r="I24" s="73">
        <f>E24-H24</f>
        <v>9000</v>
      </c>
    </row>
    <row r="25" spans="2:9">
      <c r="B25" s="127"/>
      <c r="C25" s="128"/>
      <c r="D25" s="75"/>
      <c r="E25" s="1055"/>
      <c r="F25" s="128"/>
      <c r="G25" s="1068">
        <f t="shared" si="2"/>
        <v>1</v>
      </c>
      <c r="H25" s="1058"/>
      <c r="I25" s="73">
        <f t="shared" ref="I25:I33" si="3">E25-H25</f>
        <v>0</v>
      </c>
    </row>
    <row r="26" spans="2:9">
      <c r="B26" s="127"/>
      <c r="C26" s="128"/>
      <c r="D26" s="75"/>
      <c r="E26" s="1055"/>
      <c r="F26" s="128"/>
      <c r="G26" s="1068">
        <f t="shared" si="2"/>
        <v>1</v>
      </c>
      <c r="H26" s="1058"/>
      <c r="I26" s="73">
        <f t="shared" si="3"/>
        <v>0</v>
      </c>
    </row>
    <row r="27" spans="2:9">
      <c r="B27" s="127"/>
      <c r="C27" s="128"/>
      <c r="D27" s="75"/>
      <c r="E27" s="1055"/>
      <c r="F27" s="128"/>
      <c r="G27" s="1068">
        <f t="shared" si="2"/>
        <v>1</v>
      </c>
      <c r="H27" s="1058"/>
      <c r="I27" s="73">
        <f t="shared" si="3"/>
        <v>0</v>
      </c>
    </row>
    <row r="28" spans="2:9">
      <c r="B28" s="127"/>
      <c r="C28" s="128"/>
      <c r="D28" s="75"/>
      <c r="E28" s="1055"/>
      <c r="F28" s="128"/>
      <c r="G28" s="1068">
        <f t="shared" si="2"/>
        <v>1</v>
      </c>
      <c r="H28" s="1058"/>
      <c r="I28" s="73">
        <f t="shared" si="3"/>
        <v>0</v>
      </c>
    </row>
    <row r="29" spans="2:9">
      <c r="B29" s="127"/>
      <c r="C29" s="128"/>
      <c r="D29" s="75"/>
      <c r="E29" s="1055"/>
      <c r="F29" s="128"/>
      <c r="G29" s="1068">
        <f t="shared" si="2"/>
        <v>1</v>
      </c>
      <c r="H29" s="1058"/>
      <c r="I29" s="73">
        <f t="shared" si="3"/>
        <v>0</v>
      </c>
    </row>
    <row r="30" spans="2:9">
      <c r="B30" s="127"/>
      <c r="C30" s="128"/>
      <c r="D30" s="75"/>
      <c r="E30" s="1055"/>
      <c r="F30" s="128"/>
      <c r="G30" s="1068">
        <f t="shared" si="2"/>
        <v>1</v>
      </c>
      <c r="H30" s="1058"/>
      <c r="I30" s="73">
        <f t="shared" si="3"/>
        <v>0</v>
      </c>
    </row>
    <row r="31" spans="2:9">
      <c r="B31" s="127"/>
      <c r="C31" s="128"/>
      <c r="D31" s="75"/>
      <c r="E31" s="1055"/>
      <c r="F31" s="128"/>
      <c r="G31" s="1068">
        <f t="shared" si="2"/>
        <v>1</v>
      </c>
      <c r="H31" s="1058"/>
      <c r="I31" s="73">
        <f t="shared" si="3"/>
        <v>0</v>
      </c>
    </row>
    <row r="32" spans="2:9">
      <c r="B32" s="127"/>
      <c r="C32" s="128"/>
      <c r="D32" s="75"/>
      <c r="E32" s="1055"/>
      <c r="F32" s="128"/>
      <c r="G32" s="1068">
        <f t="shared" si="2"/>
        <v>1</v>
      </c>
      <c r="H32" s="1058"/>
      <c r="I32" s="73">
        <f t="shared" si="3"/>
        <v>0</v>
      </c>
    </row>
    <row r="33" spans="2:9">
      <c r="B33" s="129"/>
      <c r="C33" s="130"/>
      <c r="D33" s="131"/>
      <c r="E33" s="1056"/>
      <c r="F33" s="130"/>
      <c r="G33" s="1069">
        <f t="shared" si="2"/>
        <v>1</v>
      </c>
      <c r="H33" s="1057"/>
      <c r="I33" s="73">
        <f t="shared" si="3"/>
        <v>0</v>
      </c>
    </row>
    <row r="34" spans="2:9">
      <c r="B34" s="974"/>
      <c r="C34" s="974"/>
      <c r="D34" s="951"/>
      <c r="E34" s="975"/>
      <c r="F34" s="976"/>
      <c r="G34" s="976"/>
      <c r="H34" s="976"/>
      <c r="I34" s="73"/>
    </row>
    <row r="35" spans="2:9">
      <c r="B35" s="121" t="s">
        <v>117</v>
      </c>
      <c r="C35" s="121"/>
      <c r="D35" s="84"/>
      <c r="E35" s="84">
        <f>SUM(E24:E33)</f>
        <v>10000</v>
      </c>
      <c r="F35" s="84"/>
      <c r="G35" s="84"/>
      <c r="H35" s="84">
        <f>SUM(H24:H33)</f>
        <v>1000</v>
      </c>
      <c r="I35" s="85">
        <f>SUM(I24:I33)</f>
        <v>9000</v>
      </c>
    </row>
    <row r="36" spans="2:9">
      <c r="B36" s="963"/>
      <c r="C36" s="964"/>
      <c r="D36" s="965"/>
      <c r="E36" s="965"/>
      <c r="F36" s="965"/>
      <c r="G36" s="965"/>
      <c r="H36" s="966"/>
      <c r="I36" s="124"/>
    </row>
    <row r="37" spans="2:9">
      <c r="B37" s="83" t="s">
        <v>118</v>
      </c>
      <c r="C37" s="132">
        <f>I5</f>
        <v>44561</v>
      </c>
      <c r="D37" s="85"/>
      <c r="E37" s="85"/>
      <c r="F37" s="85"/>
      <c r="G37" s="85">
        <f>SUMIF(G24:G33,1,H24:H33)+SUMIF(G10:G17,1,H10:H17)</f>
        <v>1200</v>
      </c>
      <c r="H37" s="85"/>
      <c r="I37" s="85">
        <f>E19+E35-G37</f>
        <v>9100</v>
      </c>
    </row>
    <row r="38" spans="2:9" ht="15.75" thickBot="1">
      <c r="B38" s="977" t="s">
        <v>119</v>
      </c>
      <c r="C38" s="964"/>
      <c r="D38" s="965"/>
      <c r="E38" s="965"/>
      <c r="F38" s="965"/>
      <c r="G38" s="965"/>
      <c r="H38" s="966"/>
      <c r="I38" s="1070">
        <v>9000</v>
      </c>
    </row>
    <row r="39" spans="2:9" ht="15.75" thickBot="1">
      <c r="B39" s="83" t="s">
        <v>120</v>
      </c>
      <c r="C39" s="132"/>
      <c r="D39" s="85"/>
      <c r="E39" s="85"/>
      <c r="F39" s="85"/>
      <c r="G39" s="85"/>
      <c r="H39" s="85"/>
      <c r="I39" s="133">
        <f>I37-I38</f>
        <v>100</v>
      </c>
    </row>
  </sheetData>
  <sheetProtection algorithmName="SHA-512" hashValue="TQcKW8yqhheZOowzp66YoLrkbPzOxX9EVcrXb2a/JEQx2ehF+622RRHCTANECUZ6Wfv3N71lhaugzaPPcIOq7w==" saltValue="lPaJKyMnlfL/Oc+emdxhbQ==" spinCount="100000" sheet="1" objects="1" scenarios="1"/>
  <mergeCells count="6">
    <mergeCell ref="B1:I1"/>
    <mergeCell ref="F7:H7"/>
    <mergeCell ref="F21:H21"/>
    <mergeCell ref="C5:F5"/>
    <mergeCell ref="B2:I2"/>
    <mergeCell ref="B3:H3"/>
  </mergeCells>
  <hyperlinks>
    <hyperlink ref="K1" location="Inhaltsverzeichnis!A1" display="zum Inhaltsverzeichnis" xr:uid="{E25BD4BD-1A69-4976-A08F-6B3319FFC655}"/>
  </hyperlinks>
  <pageMargins left="0.7" right="0.7" top="0.78740157499999996" bottom="0.78740157499999996" header="0.3" footer="0.3"/>
  <pageSetup paperSize="9" scale="6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33</vt:i4>
      </vt:variant>
    </vt:vector>
  </HeadingPairs>
  <TitlesOfParts>
    <vt:vector size="72" baseType="lpstr">
      <vt:lpstr>Version_Hinweise</vt:lpstr>
      <vt:lpstr>Allgemeine_Informationen</vt:lpstr>
      <vt:lpstr>Inhaltsverzeichnis</vt:lpstr>
      <vt:lpstr>Mandantendaten</vt:lpstr>
      <vt:lpstr>Ford. 1</vt:lpstr>
      <vt:lpstr>Ford. 2</vt:lpstr>
      <vt:lpstr>Ford. 3</vt:lpstr>
      <vt:lpstr>Ford. 4</vt:lpstr>
      <vt:lpstr>Ford. 5</vt:lpstr>
      <vt:lpstr>Bank 1</vt:lpstr>
      <vt:lpstr>ARAP 1</vt:lpstr>
      <vt:lpstr>ARAP 2</vt:lpstr>
      <vt:lpstr>ARAP 3</vt:lpstr>
      <vt:lpstr>AV 1</vt:lpstr>
      <vt:lpstr>AV 2</vt:lpstr>
      <vt:lpstr>AV 3</vt:lpstr>
      <vt:lpstr>Rückst. 1</vt:lpstr>
      <vt:lpstr>Sapo</vt:lpstr>
      <vt:lpstr>IAB</vt:lpstr>
      <vt:lpstr>Rückst. 2</vt:lpstr>
      <vt:lpstr>Rückst. 3</vt:lpstr>
      <vt:lpstr>Rückst. 4</vt:lpstr>
      <vt:lpstr>Verb. 1</vt:lpstr>
      <vt:lpstr>Verb. 2</vt:lpstr>
      <vt:lpstr>Sonst. Verb. 1</vt:lpstr>
      <vt:lpstr>Sonst. Verb. 2</vt:lpstr>
      <vt:lpstr>Sonst. Verb. 3</vt:lpstr>
      <vt:lpstr>Sonst. Verb. 4</vt:lpstr>
      <vt:lpstr>Sonst. Verb. 5</vt:lpstr>
      <vt:lpstr>USt 1</vt:lpstr>
      <vt:lpstr>USt 2</vt:lpstr>
      <vt:lpstr>USt 3</vt:lpstr>
      <vt:lpstr>USt 4</vt:lpstr>
      <vt:lpstr>PRAP 1</vt:lpstr>
      <vt:lpstr>PRAP 2</vt:lpstr>
      <vt:lpstr>Lohn 1</vt:lpstr>
      <vt:lpstr>Lohn 2</vt:lpstr>
      <vt:lpstr>Verträge 1</vt:lpstr>
      <vt:lpstr>Kontenaufstellung</vt:lpstr>
      <vt:lpstr>'ARAP 1'!Druckbereich</vt:lpstr>
      <vt:lpstr>'ARAP 2'!Druckbereich</vt:lpstr>
      <vt:lpstr>'AV 1'!Druckbereich</vt:lpstr>
      <vt:lpstr>'AV 2'!Druckbereich</vt:lpstr>
      <vt:lpstr>'AV 3'!Druckbereich</vt:lpstr>
      <vt:lpstr>'Bank 1'!Druckbereich</vt:lpstr>
      <vt:lpstr>'Ford. 1'!Druckbereich</vt:lpstr>
      <vt:lpstr>'Ford. 2'!Druckbereich</vt:lpstr>
      <vt:lpstr>'Ford. 3'!Druckbereich</vt:lpstr>
      <vt:lpstr>'Ford. 4'!Druckbereich</vt:lpstr>
      <vt:lpstr>'Ford. 5'!Druckbereich</vt:lpstr>
      <vt:lpstr>IAB!Druckbereich</vt:lpstr>
      <vt:lpstr>Kontenaufstellung!Druckbereich</vt:lpstr>
      <vt:lpstr>'Lohn 1'!Druckbereich</vt:lpstr>
      <vt:lpstr>'PRAP 1'!Druckbereich</vt:lpstr>
      <vt:lpstr>'PRAP 2'!Druckbereich</vt:lpstr>
      <vt:lpstr>'Rückst. 1'!Druckbereich</vt:lpstr>
      <vt:lpstr>'Rückst. 2'!Druckbereich</vt:lpstr>
      <vt:lpstr>'Rückst. 3'!Druckbereich</vt:lpstr>
      <vt:lpstr>'Rückst. 4'!Druckbereich</vt:lpstr>
      <vt:lpstr>Sapo!Druckbereich</vt:lpstr>
      <vt:lpstr>'Sonst. Verb. 1'!Druckbereich</vt:lpstr>
      <vt:lpstr>'Sonst. Verb. 2'!Druckbereich</vt:lpstr>
      <vt:lpstr>'Sonst. Verb. 3'!Druckbereich</vt:lpstr>
      <vt:lpstr>'Sonst. Verb. 4'!Druckbereich</vt:lpstr>
      <vt:lpstr>'Sonst. Verb. 5'!Druckbereich</vt:lpstr>
      <vt:lpstr>'USt 1'!Druckbereich</vt:lpstr>
      <vt:lpstr>'USt 2'!Druckbereich</vt:lpstr>
      <vt:lpstr>'USt 3'!Druckbereich</vt:lpstr>
      <vt:lpstr>'USt 4'!Druckbereich</vt:lpstr>
      <vt:lpstr>'Verb. 1'!Druckbereich</vt:lpstr>
      <vt:lpstr>'Verb. 2'!Druckbereich</vt:lpstr>
      <vt:lpstr>'Verträge 1'!Druckbereich</vt:lpstr>
    </vt:vector>
  </TitlesOfParts>
  <Company>NWB Verlag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Duwe, Thomas</dc:creator>
  <cp:lastModifiedBy>Duwe, Thomas</cp:lastModifiedBy>
  <cp:lastPrinted>2021-03-01T14:29:11Z</cp:lastPrinted>
  <dcterms:created xsi:type="dcterms:W3CDTF">2020-11-02T15:58:14Z</dcterms:created>
  <dcterms:modified xsi:type="dcterms:W3CDTF">2022-01-21T11:33:24Z</dcterms:modified>
</cp:coreProperties>
</file>